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2370" windowHeight="7725" firstSheet="2" activeTab="4"/>
  </bookViews>
  <sheets>
    <sheet name="About" sheetId="2" r:id="rId1"/>
    <sheet name="Data" sheetId="1" r:id="rId2"/>
    <sheet name="Attribute Analysis" sheetId="7" r:id="rId3"/>
    <sheet name="Win Percent Analysis" sheetId="6" r:id="rId4"/>
    <sheet name="Data as Table" sheetId="8" r:id="rId5"/>
  </sheets>
  <definedNames>
    <definedName name="_xlchart.v1.0" hidden="1">Data!$N$2:$N$86</definedName>
    <definedName name="_xlchart.v1.1" hidden="1">Data!$N$2:$N$86</definedName>
    <definedName name="Bar" comment="Is the candy a bar or not?  1 is a bar, 0 is not." localSheetId="4">'Data as Table'!$I$2:$I$86</definedName>
    <definedName name="Bar" comment="Is the candy a bar or not?  1 is a bar, 0 is not.">Data!$I$2:$I$86</definedName>
    <definedName name="Caramel" localSheetId="4">'Data as Table'!$D$2:$D$86</definedName>
    <definedName name="Caramel">Data!$D$2:$D$86</definedName>
    <definedName name="Chocolate" localSheetId="4">'Data as Table'!$B$2:$B$86</definedName>
    <definedName name="Chocolate">Data!$B$2:$B$86</definedName>
    <definedName name="Fruity" localSheetId="4">'Data as Table'!$C$2:$C$86</definedName>
    <definedName name="Fruity">Data!$C$2:$C$86</definedName>
    <definedName name="Hard" localSheetId="4">'Data as Table'!$H$2:$H$86</definedName>
    <definedName name="Hard">Data!$H$2:$H$86</definedName>
    <definedName name="Multiple_In_Package" localSheetId="4">'Data as Table'!$J$2:$J$86</definedName>
    <definedName name="Multiple_In_Package">Data!$J$2:$J$86</definedName>
    <definedName name="Name" localSheetId="4">'Data as Table'!$A$2:$A$86</definedName>
    <definedName name="Name">Data!$A$2:$A$86</definedName>
    <definedName name="Nougat" localSheetId="4">'Data as Table'!$F$2:$F$86</definedName>
    <definedName name="Nougat">Data!$F$2:$F$86</definedName>
    <definedName name="Peanut_Almond" localSheetId="4">'Data as Table'!$E$2:$E$86</definedName>
    <definedName name="Peanut_Almond">Data!$E$2:$E$86</definedName>
    <definedName name="Waifer" localSheetId="4">'Data as Table'!$G$2:$G$86</definedName>
    <definedName name="Waifer">Data!$G$2:$G$86</definedName>
    <definedName name="Win" localSheetId="4">'Data as Table'!$Q$2:$Q$86</definedName>
    <definedName name="Win">Data!$N$2:$N$86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8" l="1"/>
  <c r="I87" i="8"/>
  <c r="H87" i="8"/>
  <c r="G87" i="8"/>
  <c r="F87" i="8"/>
  <c r="E87" i="8"/>
  <c r="D87" i="8"/>
  <c r="C87" i="8"/>
  <c r="B87" i="8"/>
  <c r="M8" i="8"/>
  <c r="M9" i="8"/>
  <c r="M10" i="8"/>
  <c r="M32" i="8"/>
  <c r="M33" i="8"/>
  <c r="M34" i="8"/>
  <c r="M11" i="8"/>
  <c r="M12" i="8"/>
  <c r="M13" i="8"/>
  <c r="M14" i="8"/>
  <c r="M15" i="8"/>
  <c r="M26" i="8"/>
  <c r="M16" i="8"/>
  <c r="M17" i="8"/>
  <c r="M18" i="8"/>
  <c r="M35" i="8"/>
  <c r="M19" i="8"/>
  <c r="M20" i="8"/>
  <c r="M21" i="8"/>
  <c r="M2" i="8"/>
  <c r="M3" i="8"/>
  <c r="M27" i="8"/>
  <c r="M22" i="8"/>
  <c r="M23" i="8"/>
  <c r="M28" i="8"/>
  <c r="M4" i="8"/>
  <c r="M29" i="8"/>
  <c r="M5" i="8"/>
  <c r="M30" i="8"/>
  <c r="M36" i="8"/>
  <c r="M6" i="8"/>
  <c r="M24" i="8"/>
  <c r="M37" i="8"/>
  <c r="M7" i="8"/>
  <c r="M38" i="8"/>
  <c r="M31" i="8"/>
  <c r="M25" i="8"/>
  <c r="M56" i="8"/>
  <c r="M39" i="8"/>
  <c r="M47" i="8"/>
  <c r="M48" i="8"/>
  <c r="M49" i="8"/>
  <c r="M50" i="8"/>
  <c r="M51" i="8"/>
  <c r="M57" i="8"/>
  <c r="M44" i="8"/>
  <c r="M52" i="8"/>
  <c r="M40" i="8"/>
  <c r="M45" i="8"/>
  <c r="M53" i="8"/>
  <c r="M58" i="8"/>
  <c r="M59" i="8"/>
  <c r="M60" i="8"/>
  <c r="M46" i="8"/>
  <c r="M54" i="8"/>
  <c r="M61" i="8"/>
  <c r="M62" i="8"/>
  <c r="M55" i="8"/>
  <c r="M63" i="8"/>
  <c r="M41" i="8"/>
  <c r="M42" i="8"/>
  <c r="M64" i="8"/>
  <c r="M43" i="8"/>
  <c r="M65" i="8"/>
  <c r="M80" i="8"/>
  <c r="M81" i="8"/>
  <c r="M71" i="8"/>
  <c r="M82" i="8"/>
  <c r="M72" i="8"/>
  <c r="M73" i="8"/>
  <c r="M66" i="8"/>
  <c r="M83" i="8"/>
  <c r="M67" i="8"/>
  <c r="M84" i="8"/>
  <c r="M68" i="8"/>
  <c r="M69" i="8"/>
  <c r="M74" i="8"/>
  <c r="M85" i="8"/>
  <c r="M75" i="8"/>
  <c r="M76" i="8"/>
  <c r="M77" i="8"/>
  <c r="M78" i="8"/>
  <c r="M86" i="8"/>
  <c r="M79" i="8"/>
  <c r="M70" i="8"/>
  <c r="O61" i="8"/>
  <c r="O23" i="8"/>
  <c r="O85" i="8"/>
  <c r="O51" i="8"/>
  <c r="O62" i="8"/>
  <c r="O55" i="8"/>
  <c r="O63" i="8"/>
  <c r="O41" i="8"/>
  <c r="O42" i="8"/>
  <c r="O81" i="8"/>
  <c r="O64" i="8"/>
  <c r="O57" i="8"/>
  <c r="O21" i="8"/>
  <c r="O84" i="8"/>
  <c r="O43" i="8"/>
  <c r="O71" i="8"/>
  <c r="O68" i="8"/>
  <c r="O69" i="8"/>
  <c r="O2" i="8"/>
  <c r="O75" i="8"/>
  <c r="O56" i="8"/>
  <c r="O14" i="8"/>
  <c r="O65" i="8"/>
  <c r="O76" i="8"/>
  <c r="O44" i="8"/>
  <c r="O47" i="8"/>
  <c r="O82" i="8"/>
  <c r="O77" i="8"/>
  <c r="O12" i="8"/>
  <c r="O5" i="8"/>
  <c r="O3" i="8"/>
  <c r="O52" i="8"/>
  <c r="O80" i="8"/>
  <c r="O78" i="8"/>
  <c r="O28" i="8"/>
  <c r="O15" i="8"/>
  <c r="O40" i="8"/>
  <c r="O48" i="8"/>
  <c r="O72" i="8"/>
  <c r="O30" i="8"/>
  <c r="O67" i="8"/>
  <c r="O36" i="8"/>
  <c r="O74" i="8"/>
  <c r="O27" i="8"/>
  <c r="O39" i="8"/>
  <c r="O6" i="8"/>
  <c r="O73" i="8"/>
  <c r="O45" i="8"/>
  <c r="O26" i="8"/>
  <c r="O8" i="8"/>
  <c r="O16" i="8"/>
  <c r="O29" i="8"/>
  <c r="O10" i="8"/>
  <c r="O53" i="8"/>
  <c r="O4" i="8"/>
  <c r="O58" i="8"/>
  <c r="O49" i="8"/>
  <c r="O22" i="8"/>
  <c r="O17" i="8"/>
  <c r="O83" i="8"/>
  <c r="O32" i="8"/>
  <c r="O24" i="8"/>
  <c r="O37" i="8"/>
  <c r="O13" i="8"/>
  <c r="O18" i="8"/>
  <c r="O59" i="8"/>
  <c r="O7" i="8"/>
  <c r="O79" i="8"/>
  <c r="O9" i="8"/>
  <c r="O35" i="8"/>
  <c r="O60" i="8"/>
  <c r="O86" i="8"/>
  <c r="O11" i="8"/>
  <c r="O33" i="8"/>
  <c r="O38" i="8"/>
  <c r="O50" i="8"/>
  <c r="O66" i="8"/>
  <c r="O19" i="8"/>
  <c r="O31" i="8"/>
  <c r="O34" i="8"/>
  <c r="O46" i="8"/>
  <c r="O20" i="8"/>
  <c r="O25" i="8"/>
  <c r="O54" i="8"/>
  <c r="O70" i="8"/>
  <c r="K61" i="8"/>
  <c r="K23" i="8"/>
  <c r="K85" i="8"/>
  <c r="K51" i="8"/>
  <c r="K62" i="8"/>
  <c r="K55" i="8"/>
  <c r="K63" i="8"/>
  <c r="K41" i="8"/>
  <c r="K42" i="8"/>
  <c r="K81" i="8"/>
  <c r="K64" i="8"/>
  <c r="K57" i="8"/>
  <c r="K21" i="8"/>
  <c r="K84" i="8"/>
  <c r="K43" i="8"/>
  <c r="K71" i="8"/>
  <c r="K68" i="8"/>
  <c r="K69" i="8"/>
  <c r="K2" i="8"/>
  <c r="K75" i="8"/>
  <c r="K56" i="8"/>
  <c r="K14" i="8"/>
  <c r="K65" i="8"/>
  <c r="K76" i="8"/>
  <c r="K44" i="8"/>
  <c r="K47" i="8"/>
  <c r="K82" i="8"/>
  <c r="K77" i="8"/>
  <c r="K12" i="8"/>
  <c r="K5" i="8"/>
  <c r="K3" i="8"/>
  <c r="K52" i="8"/>
  <c r="K80" i="8"/>
  <c r="K78" i="8"/>
  <c r="K28" i="8"/>
  <c r="K15" i="8"/>
  <c r="K40" i="8"/>
  <c r="K48" i="8"/>
  <c r="K72" i="8"/>
  <c r="K30" i="8"/>
  <c r="K67" i="8"/>
  <c r="K36" i="8"/>
  <c r="K74" i="8"/>
  <c r="K27" i="8"/>
  <c r="K39" i="8"/>
  <c r="K6" i="8"/>
  <c r="K73" i="8"/>
  <c r="K45" i="8"/>
  <c r="K26" i="8"/>
  <c r="K8" i="8"/>
  <c r="K16" i="8"/>
  <c r="K29" i="8"/>
  <c r="K10" i="8"/>
  <c r="K53" i="8"/>
  <c r="K4" i="8"/>
  <c r="K58" i="8"/>
  <c r="K49" i="8"/>
  <c r="K22" i="8"/>
  <c r="K17" i="8"/>
  <c r="K83" i="8"/>
  <c r="K32" i="8"/>
  <c r="K24" i="8"/>
  <c r="K37" i="8"/>
  <c r="K13" i="8"/>
  <c r="K18" i="8"/>
  <c r="K59" i="8"/>
  <c r="K7" i="8"/>
  <c r="K79" i="8"/>
  <c r="K9" i="8"/>
  <c r="K35" i="8"/>
  <c r="K60" i="8"/>
  <c r="K86" i="8"/>
  <c r="K11" i="8"/>
  <c r="K33" i="8"/>
  <c r="K38" i="8"/>
  <c r="K50" i="8"/>
  <c r="K66" i="8"/>
  <c r="K19" i="8"/>
  <c r="K31" i="8"/>
  <c r="K34" i="8"/>
  <c r="K46" i="8"/>
  <c r="K20" i="8"/>
  <c r="K25" i="8"/>
  <c r="K54" i="8"/>
  <c r="K70" i="8"/>
  <c r="Q67" i="8"/>
  <c r="Q22" i="8"/>
  <c r="Q29" i="8"/>
  <c r="Q18" i="8"/>
  <c r="Q16" i="8"/>
  <c r="Q85" i="8"/>
  <c r="Q27" i="8"/>
  <c r="Q30" i="8"/>
  <c r="Q8" i="8"/>
  <c r="Q53" i="8"/>
  <c r="Q36" i="8"/>
  <c r="Q80" i="8"/>
  <c r="Q20" i="8"/>
  <c r="Q31" i="8"/>
  <c r="Q66" i="8"/>
  <c r="Q33" i="8"/>
  <c r="Q21" i="8"/>
  <c r="Q15" i="8"/>
  <c r="Q14" i="8"/>
  <c r="Q65" i="8"/>
  <c r="Q62" i="8"/>
  <c r="Q26" i="8"/>
  <c r="Q79" i="8"/>
  <c r="Q3" i="8"/>
  <c r="Q2" i="8"/>
  <c r="Q11" i="8"/>
  <c r="Q4" i="8"/>
  <c r="Q34" i="8"/>
  <c r="Q68" i="8"/>
  <c r="Q86" i="8"/>
  <c r="Q41" i="8"/>
  <c r="Q55" i="8"/>
  <c r="Q61" i="8"/>
  <c r="Q23" i="8"/>
  <c r="Q35" i="8"/>
  <c r="Q83" i="8"/>
  <c r="Q9" i="8"/>
  <c r="Q64" i="8"/>
  <c r="Q73" i="8"/>
  <c r="Q24" i="8"/>
  <c r="Q70" i="8"/>
  <c r="Q71" i="8"/>
  <c r="Q81" i="8"/>
  <c r="Q5" i="8"/>
  <c r="Q78" i="8"/>
  <c r="Q74" i="8"/>
  <c r="Q69" i="8"/>
  <c r="Q56" i="8"/>
  <c r="Q63" i="8"/>
  <c r="Q52" i="8"/>
  <c r="Q6" i="8"/>
  <c r="Q43" i="8"/>
  <c r="Q42" i="8"/>
  <c r="Q28" i="8"/>
  <c r="Q13" i="8"/>
  <c r="Q17" i="8"/>
  <c r="Q51" i="8"/>
  <c r="Q44" i="8"/>
  <c r="Q46" i="8"/>
  <c r="Q76" i="8"/>
  <c r="Q77" i="8"/>
  <c r="Q75" i="8"/>
  <c r="Q12" i="8"/>
  <c r="Q49" i="8"/>
  <c r="Q48" i="8"/>
  <c r="Q50" i="8"/>
  <c r="Q47" i="8"/>
  <c r="Q39" i="8"/>
  <c r="Q37" i="8"/>
  <c r="Q10" i="8"/>
  <c r="Q32" i="8"/>
  <c r="Q58" i="8"/>
  <c r="Q25" i="8"/>
  <c r="Q60" i="8"/>
  <c r="Q59" i="8"/>
  <c r="Q38" i="8"/>
  <c r="Q7" i="8"/>
  <c r="Q54" i="8"/>
  <c r="Q82" i="8"/>
  <c r="Q72" i="8"/>
  <c r="Q40" i="8"/>
  <c r="Q45" i="8"/>
  <c r="Q19" i="8"/>
  <c r="Q57" i="8"/>
  <c r="Q84" i="8"/>
  <c r="R59" i="8" l="1"/>
  <c r="R19" i="8"/>
  <c r="R45" i="8"/>
  <c r="R10" i="8"/>
  <c r="R75" i="8"/>
  <c r="R74" i="8"/>
  <c r="R86" i="8"/>
  <c r="R31" i="8"/>
  <c r="R7" i="8"/>
  <c r="R77" i="8"/>
  <c r="R42" i="8"/>
  <c r="R78" i="8"/>
  <c r="R9" i="8"/>
  <c r="R68" i="8"/>
  <c r="R62" i="8"/>
  <c r="R20" i="8"/>
  <c r="R16" i="8"/>
  <c r="R60" i="8"/>
  <c r="R54" i="8"/>
  <c r="R28" i="8"/>
  <c r="R64" i="8"/>
  <c r="R26" i="8"/>
  <c r="R85" i="8"/>
  <c r="R84" i="8"/>
  <c r="R37" i="8"/>
  <c r="R57" i="8"/>
  <c r="R43" i="8"/>
  <c r="R5" i="8"/>
  <c r="R83" i="8"/>
  <c r="R65" i="8"/>
  <c r="R80" i="8"/>
  <c r="R47" i="8"/>
  <c r="R6" i="8"/>
  <c r="R81" i="8"/>
  <c r="R35" i="8"/>
  <c r="R4" i="8"/>
  <c r="R14" i="8"/>
  <c r="R36" i="8"/>
  <c r="R29" i="8"/>
  <c r="R52" i="8"/>
  <c r="R71" i="8"/>
  <c r="R23" i="8"/>
  <c r="R11" i="8"/>
  <c r="R15" i="8"/>
  <c r="R53" i="8"/>
  <c r="R22" i="8"/>
  <c r="R50" i="8"/>
  <c r="R44" i="8"/>
  <c r="R48" i="8"/>
  <c r="R51" i="8"/>
  <c r="R63" i="8"/>
  <c r="R61" i="8"/>
  <c r="R8" i="8"/>
  <c r="R72" i="8"/>
  <c r="R49" i="8"/>
  <c r="R17" i="8"/>
  <c r="R56" i="8"/>
  <c r="R24" i="8"/>
  <c r="R55" i="8"/>
  <c r="R3" i="8"/>
  <c r="R33" i="8"/>
  <c r="R30" i="8"/>
  <c r="R58" i="8"/>
  <c r="R69" i="8"/>
  <c r="R73" i="8"/>
  <c r="R79" i="8"/>
  <c r="R27" i="8"/>
  <c r="R46" i="8"/>
  <c r="R18" i="8"/>
  <c r="R67" i="8"/>
  <c r="R13" i="8"/>
  <c r="R76" i="8"/>
  <c r="R34" i="8"/>
  <c r="R41" i="8"/>
  <c r="R70" i="8"/>
  <c r="R32" i="8"/>
  <c r="R39" i="8"/>
  <c r="R12" i="8"/>
  <c r="R66" i="8"/>
  <c r="R40" i="8"/>
  <c r="R21" i="8"/>
  <c r="R38" i="8"/>
  <c r="R2" i="8"/>
  <c r="R25" i="8"/>
  <c r="R82" i="8"/>
  <c r="B3" i="7"/>
  <c r="B6" i="7"/>
  <c r="B7" i="7"/>
  <c r="B11" i="7"/>
  <c r="B10" i="7"/>
  <c r="B9" i="7"/>
  <c r="B8" i="7"/>
  <c r="B4" i="7"/>
  <c r="B5" i="7"/>
  <c r="B11" i="6"/>
  <c r="B10" i="6"/>
  <c r="B8" i="6"/>
  <c r="B12" i="6" s="1"/>
  <c r="B7" i="6"/>
  <c r="B6" i="6"/>
  <c r="B5" i="6"/>
  <c r="B4" i="6"/>
  <c r="B2" i="6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2" i="1"/>
  <c r="R87" i="8" l="1"/>
</calcChain>
</file>

<file path=xl/sharedStrings.xml><?xml version="1.0" encoding="utf-8"?>
<sst xmlns="http://schemas.openxmlformats.org/spreadsheetml/2006/main" count="310" uniqueCount="176">
  <si>
    <t>competitorname</t>
  </si>
  <si>
    <t>chocolate</t>
  </si>
  <si>
    <t>fruity</t>
  </si>
  <si>
    <t>caramel</t>
  </si>
  <si>
    <t>nougat</t>
  </si>
  <si>
    <t>crispedricewafer</t>
  </si>
  <si>
    <t>hard</t>
  </si>
  <si>
    <t>bar</t>
  </si>
  <si>
    <t>pluribus</t>
  </si>
  <si>
    <t>sugarpercent</t>
  </si>
  <si>
    <t>pricepercent</t>
  </si>
  <si>
    <t>winpercent</t>
  </si>
  <si>
    <t>100 Grand</t>
  </si>
  <si>
    <t>3 Musketeers</t>
  </si>
  <si>
    <t>One dime</t>
  </si>
  <si>
    <t>One quarter</t>
  </si>
  <si>
    <t>Air Heads</t>
  </si>
  <si>
    <t>Almond Joy</t>
  </si>
  <si>
    <t>Baby Ruth</t>
  </si>
  <si>
    <t>Boston Baked Beans</t>
  </si>
  <si>
    <t>Candy Corn</t>
  </si>
  <si>
    <t>Caramel Apple Pops</t>
  </si>
  <si>
    <t>Charleston Chew</t>
  </si>
  <si>
    <t>Chewey Lemonhead Fruit Mix</t>
  </si>
  <si>
    <t>Chiclets</t>
  </si>
  <si>
    <t>Dots</t>
  </si>
  <si>
    <t>Dum Dums</t>
  </si>
  <si>
    <t>Fruit Chews</t>
  </si>
  <si>
    <t>Fun Dip</t>
  </si>
  <si>
    <t>Gobstopper</t>
  </si>
  <si>
    <t>Haribo Gold Bears</t>
  </si>
  <si>
    <t>Haribo Happy Cola</t>
  </si>
  <si>
    <t>Haribo Sour Bears</t>
  </si>
  <si>
    <t>Haribo Twin Snakes</t>
  </si>
  <si>
    <t>Jawbusters</t>
  </si>
  <si>
    <t>Junior Mints</t>
  </si>
  <si>
    <t>Kit Kat</t>
  </si>
  <si>
    <t>Laffy Taffy</t>
  </si>
  <si>
    <t>Lemonhead</t>
  </si>
  <si>
    <t>Lifesavers big ring gummies</t>
  </si>
  <si>
    <t>Mike &amp; Ike</t>
  </si>
  <si>
    <t>Milk Duds</t>
  </si>
  <si>
    <t>Milky Way</t>
  </si>
  <si>
    <t>Milky Way Midnight</t>
  </si>
  <si>
    <t>Milky Way Simply Caramel</t>
  </si>
  <si>
    <t>Mounds</t>
  </si>
  <si>
    <t>Mr Good Bar</t>
  </si>
  <si>
    <t>Nerds</t>
  </si>
  <si>
    <t>Nestle Butterfinger</t>
  </si>
  <si>
    <t>Nestle Crunch</t>
  </si>
  <si>
    <t>Nik L Nip</t>
  </si>
  <si>
    <t>Now &amp; Later</t>
  </si>
  <si>
    <t>Payday</t>
  </si>
  <si>
    <t>Peanut M&amp;Ms</t>
  </si>
  <si>
    <t>Pixie Sticks</t>
  </si>
  <si>
    <t>Pop Rocks</t>
  </si>
  <si>
    <t>Red vines</t>
  </si>
  <si>
    <t>Ring pop</t>
  </si>
  <si>
    <t>Rolo</t>
  </si>
  <si>
    <t>Root Beer Barrels</t>
  </si>
  <si>
    <t>Runts</t>
  </si>
  <si>
    <t>Sixlets</t>
  </si>
  <si>
    <t>Skittles original</t>
  </si>
  <si>
    <t>Skittles wildberry</t>
  </si>
  <si>
    <t>Nestle Smarties</t>
  </si>
  <si>
    <t>Smarties candy</t>
  </si>
  <si>
    <t>Snickers</t>
  </si>
  <si>
    <t>Snickers Crisper</t>
  </si>
  <si>
    <t>Sour Patch Kids</t>
  </si>
  <si>
    <t>Sour Patch Tricksters</t>
  </si>
  <si>
    <t>Starburst</t>
  </si>
  <si>
    <t>Strawberry bon bons</t>
  </si>
  <si>
    <t>Sugar Babies</t>
  </si>
  <si>
    <t>Sugar Daddy</t>
  </si>
  <si>
    <t>Super Bubble</t>
  </si>
  <si>
    <t>Swedish Fish</t>
  </si>
  <si>
    <t>Tootsie Pop</t>
  </si>
  <si>
    <t>Tootsie Roll Juniors</t>
  </si>
  <si>
    <t>Tootsie Roll Midgies</t>
  </si>
  <si>
    <t>Tootsie Roll Snack Bars</t>
  </si>
  <si>
    <t>Trolli Sour Bites</t>
  </si>
  <si>
    <t>Twix</t>
  </si>
  <si>
    <t>Twizzlers</t>
  </si>
  <si>
    <t>Warheads</t>
  </si>
  <si>
    <t>Whoppers</t>
  </si>
  <si>
    <t>Hershey's Kisses</t>
  </si>
  <si>
    <t>Hershey's Krackel</t>
  </si>
  <si>
    <t>Hershey's Milk Chocolate</t>
  </si>
  <si>
    <t>Hershey's Special Dark</t>
  </si>
  <si>
    <t>Peanut butter M&amp;M's</t>
  </si>
  <si>
    <t>M&amp;M's</t>
  </si>
  <si>
    <t>Reese's Miniatures</t>
  </si>
  <si>
    <t>Reese's Peanut Butter cup</t>
  </si>
  <si>
    <t>Reese's pieces</t>
  </si>
  <si>
    <t>Reese's stuffed with pieces</t>
  </si>
  <si>
    <t>Welch's Fruit Snacks</t>
  </si>
  <si>
    <t>Werther's Original Caramel</t>
  </si>
  <si>
    <t>Win Percent</t>
  </si>
  <si>
    <t>Raw Win Percent</t>
  </si>
  <si>
    <t>Price Percent</t>
  </si>
  <si>
    <t>Sugar Percent</t>
  </si>
  <si>
    <t>Name</t>
  </si>
  <si>
    <t>Chocolate</t>
  </si>
  <si>
    <t>Fruity</t>
  </si>
  <si>
    <t>Caramel</t>
  </si>
  <si>
    <t>Nougat</t>
  </si>
  <si>
    <t>Waifer</t>
  </si>
  <si>
    <t>Hard</t>
  </si>
  <si>
    <t>Bar</t>
  </si>
  <si>
    <t>Multiple In Package</t>
  </si>
  <si>
    <t>Peanut Almond</t>
  </si>
  <si>
    <t xml:space="preserve">Author </t>
  </si>
  <si>
    <t>Dan Bennett</t>
  </si>
  <si>
    <t>Date</t>
  </si>
  <si>
    <t>Purpose</t>
  </si>
  <si>
    <t>Explore Tables and boolean operations</t>
  </si>
  <si>
    <t>Source</t>
  </si>
  <si>
    <t>FiveThirtyEight's github account</t>
  </si>
  <si>
    <t xml:space="preserve">Link </t>
  </si>
  <si>
    <t>https://github.com/fivethirtyeight/data/tree/master/candy-power-ranking</t>
  </si>
  <si>
    <t>Data Dictionary</t>
  </si>
  <si>
    <t>Sheets</t>
  </si>
  <si>
    <t>Raw Data</t>
  </si>
  <si>
    <t>This contains a  modified version of the raw data.  See methods doucment for full description of the changes</t>
  </si>
  <si>
    <t>Does it contain chocolate?</t>
  </si>
  <si>
    <t>Is it fruit flavored?</t>
  </si>
  <si>
    <t>Is there caramel in the candy?</t>
  </si>
  <si>
    <t>peanutalmondy</t>
  </si>
  <si>
    <t>Does it contain peanuts, peanut butter or almonds?</t>
  </si>
  <si>
    <t>Does it contain nougat?</t>
  </si>
  <si>
    <t>Does it contain crisped rice, wafers, or a cookie component?</t>
  </si>
  <si>
    <t>Is it a hard candy?</t>
  </si>
  <si>
    <t>Is it a candy bar?</t>
  </si>
  <si>
    <t>Is it one of many candies in a bag or box?</t>
  </si>
  <si>
    <t>The percentile of sugar it falls under within the data set.</t>
  </si>
  <si>
    <t>The unit price percentile compared to the rest of the set.</t>
  </si>
  <si>
    <t>The overall win percentage according to 269,000 matchups.</t>
  </si>
  <si>
    <t>Original Name</t>
  </si>
  <si>
    <t>New Name</t>
  </si>
  <si>
    <t>Derived</t>
  </si>
  <si>
    <t>N</t>
  </si>
  <si>
    <t>Description</t>
  </si>
  <si>
    <t>Y</t>
  </si>
  <si>
    <t>Coversion of winpercent column to actual percent</t>
  </si>
  <si>
    <t>Frequency</t>
  </si>
  <si>
    <t>Q1</t>
  </si>
  <si>
    <t>Min</t>
  </si>
  <si>
    <t>Q2</t>
  </si>
  <si>
    <t>Q3</t>
  </si>
  <si>
    <t>Max</t>
  </si>
  <si>
    <t>Count</t>
  </si>
  <si>
    <t>Range</t>
  </si>
  <si>
    <t>Sugar Percentile</t>
  </si>
  <si>
    <t>Price Percentile</t>
  </si>
  <si>
    <t>Win Percent Analyss</t>
  </si>
  <si>
    <t>An analysis of the Win Percent field.</t>
  </si>
  <si>
    <t>Average</t>
  </si>
  <si>
    <t>Standard Dev</t>
  </si>
  <si>
    <t>Attribute Analysis</t>
  </si>
  <si>
    <t>An analysis of the attribute fields (Chocolate - Multiple in Package)</t>
  </si>
  <si>
    <t>Attribute</t>
  </si>
  <si>
    <t>Data As Table</t>
  </si>
  <si>
    <t>Exploring the data as a table.</t>
  </si>
  <si>
    <t>Column1</t>
  </si>
  <si>
    <t>Attribute Count</t>
  </si>
  <si>
    <t>Cheap</t>
  </si>
  <si>
    <t>Expensive</t>
  </si>
  <si>
    <t>Cost</t>
  </si>
  <si>
    <t>Class</t>
  </si>
  <si>
    <t>Price Class</t>
  </si>
  <si>
    <t>Sugar Class</t>
  </si>
  <si>
    <t>Low</t>
  </si>
  <si>
    <t>Low-Mid</t>
  </si>
  <si>
    <t>Mid-High</t>
  </si>
  <si>
    <t>High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</si>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</sst>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9" fontId="0" fillId="0" borderId="0" xfId="2" applyFont="1"/>
    <xf numFmtId="164" fontId="0" fillId="0" borderId="0" xfId="2" applyNumberFormat="1" applyFont="1"/>
    <xf numFmtId="0" fontId="2" fillId="0" borderId="0" xfId="0" applyFont="1"/>
    <xf numFmtId="0" fontId="2" fillId="0" borderId="0" xfId="0" applyFont="1" applyAlignment="1">
      <alignment horizontal="center" wrapText="1"/>
    </xf>
    <xf numFmtId="164" fontId="2" fillId="0" borderId="0" xfId="2" applyNumberFormat="1" applyFont="1" applyAlignment="1">
      <alignment horizontal="center" wrapText="1"/>
    </xf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164" fontId="1" fillId="0" borderId="0" xfId="2" applyNumberFormat="1" applyFont="1" applyAlignment="1">
      <alignment horizontal="center" wrapText="1"/>
    </xf>
    <xf numFmtId="0" fontId="0" fillId="0" borderId="0" xfId="0" applyFont="1" applyAlignment="1">
      <alignment horizontal="left" wrapText="1"/>
    </xf>
    <xf numFmtId="9" fontId="0" fillId="0" borderId="0" xfId="0" applyNumberFormat="1"/>
    <xf numFmtId="0" fontId="0" fillId="0" borderId="0" xfId="0" applyAlignment="1">
      <alignment wrapText="1"/>
    </xf>
    <xf numFmtId="37" fontId="0" fillId="0" borderId="0" xfId="1" applyNumberFormat="1" applyFont="1"/>
    <xf numFmtId="0" fontId="2" fillId="0" borderId="1" xfId="0" applyFont="1" applyBorder="1"/>
    <xf numFmtId="0" fontId="1" fillId="0" borderId="0" xfId="0" applyNumberFormat="1" applyFont="1"/>
    <xf numFmtId="37" fontId="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Attribute Frequency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'Attribute Analysis'!$B$2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'Attribute Analysis'!$A$3:$A$11</c:f>
              <c:strCache>
                <c:ptCount val="9"/>
                <c:pt idx="0">
                  <c:v>Multiple In Package</c:v>
                </c:pt>
                <c:pt idx="1">
                  <c:v>Fruity</c:v>
                </c:pt>
                <c:pt idx="2">
                  <c:v>Chocolate</c:v>
                </c:pt>
                <c:pt idx="3">
                  <c:v>Bar</c:v>
                </c:pt>
                <c:pt idx="4">
                  <c:v>Hard</c:v>
                </c:pt>
                <c:pt idx="5">
                  <c:v>Caramel</c:v>
                </c:pt>
                <c:pt idx="6">
                  <c:v>Peanut Almond</c:v>
                </c:pt>
                <c:pt idx="7">
                  <c:v>Nougat</c:v>
                </c:pt>
                <c:pt idx="8">
                  <c:v>Waifer</c:v>
                </c:pt>
              </c:strCache>
            </c:strRef>
          </c:cat>
          <c:val>
            <c:numRef>
              <c:f>'Attribute Analysis'!$B$3:$B$11</c:f>
              <c:numCache>
                <c:formatCode>General</c:formatCode>
                <c:ptCount val="9"/>
                <c:pt idx="0">
                  <c:v>44</c:v>
                </c:pt>
                <c:pt idx="1">
                  <c:v>38</c:v>
                </c:pt>
                <c:pt idx="2">
                  <c:v>37</c:v>
                </c:pt>
                <c:pt idx="3">
                  <c:v>21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B-4638-99A9-0F9F8C1CF1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8"/>
        <c:overlap val="-27"/>
        <c:axId val="559575464"/>
        <c:axId val="559575792"/>
      </c:barChart>
      <c:catAx>
        <c:axId val="55957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575792"/>
        <c:crosses val="autoZero"/>
        <c:auto val="1"/>
        <c:lblAlgn val="ctr"/>
        <c:lblOffset val="100"/>
        <c:noMultiLvlLbl val="0"/>
      </c:catAx>
      <c:valAx>
        <c:axId val="5595757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957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Win Percentage</a:t>
            </a:r>
          </a:p>
        </cx:rich>
      </cx:tx>
    </cx:title>
    <cx:plotArea>
      <cx:plotAreaRegion>
        <cx:series layoutId="boxWhisker" uniqueId="{2FFEF09D-4487-452E-B9D0-EBBE23529AF3}">
          <cx:spPr>
            <a:solidFill>
              <a:schemeClr val="accent4">
                <a:lumMod val="60000"/>
                <a:lumOff val="40000"/>
              </a:schemeClr>
            </a:solidFill>
          </cx:spPr>
          <cx:dataLabels>
            <cx:visibility seriesName="0" categoryName="0" value="1"/>
          </cx:dataLabels>
          <cx:dataId val="0"/>
          <cx:layoutPr>
            <cx:visibility nonoutliers="0"/>
            <cx:statistics quartileMethod="exclusive"/>
          </cx:layoutPr>
        </cx:series>
      </cx:plotAreaRegion>
      <cx:axis id="0" hidden="1">
        <cx:catScaling gapWidth="0.319999993"/>
        <cx:tickLabels/>
      </cx:axis>
      <cx:axis id="1">
        <cx:valScaling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Percentage Wins</a:t>
            </a:r>
          </a:p>
        </cx:rich>
      </cx:tx>
    </cx:title>
    <cx:plotArea>
      <cx:plotAreaRegion>
        <cx:series layoutId="clusteredColumn" uniqueId="{59FF7BF9-DE04-4AF1-8061-3D1A6AA8833C}">
          <cx:dataLabels>
            <cx:visibility seriesName="0" categoryName="0" value="1"/>
          </cx:dataLabels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.109999999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Percent of Battles Won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Number of Candy Types</a:t>
                </a:r>
              </a:p>
            </cx:rich>
          </cx:tx>
        </cx:title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133350</xdr:rowOff>
    </xdr:from>
    <xdr:to>
      <xdr:col>10</xdr:col>
      <xdr:colOff>142875</xdr:colOff>
      <xdr:row>19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61911</xdr:rowOff>
    </xdr:from>
    <xdr:to>
      <xdr:col>8</xdr:col>
      <xdr:colOff>85725</xdr:colOff>
      <xdr:row>22</xdr:row>
      <xdr:rowOff>66674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180975</xdr:colOff>
      <xdr:row>23</xdr:row>
      <xdr:rowOff>9525</xdr:rowOff>
    </xdr:from>
    <xdr:to>
      <xdr:col>10</xdr:col>
      <xdr:colOff>538162</xdr:colOff>
      <xdr:row>37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id="1" name="TableExploration" displayName="TableExploration" ref="A1:R87" totalsRowCount="1" headerRowDxfId="14" dataDxfId="15" headerRowCellStyle="Percent" dataCellStyle="Percent">
  <autoFilter ref="A1:R86"/>
  <sortState ref="A2:R86">
    <sortCondition ref="O2:O86" customList="Cheap,Average,Expensive"/>
  </sortState>
  <tableColumns count="18">
    <tableColumn id="1" name="Name" totalsRowLabel="Total"/>
    <tableColumn id="2" name="Chocolate" totalsRowFunction="sum"/>
    <tableColumn id="3" name="Fruity" totalsRowFunction="sum"/>
    <tableColumn id="4" name="Caramel" totalsRowFunction="sum"/>
    <tableColumn id="5" name="Peanut Almond" totalsRowFunction="sum"/>
    <tableColumn id="6" name="Nougat" totalsRowFunction="sum"/>
    <tableColumn id="7" name="Waifer" totalsRowFunction="sum"/>
    <tableColumn id="8" name="Hard" totalsRowFunction="sum"/>
    <tableColumn id="9" name="Bar" totalsRowFunction="sum"/>
    <tableColumn id="10" name="Multiple In Package" totalsRowFunction="sum" dataDxfId="12" totalsRowDxfId="0"/>
    <tableColumn id="16" name="Attribute Count" dataDxfId="11" totalsRowDxfId="7">
      <calculatedColumnFormula>SUM(B2:J2)</calculatedColumnFormula>
    </tableColumn>
    <tableColumn id="11" name="Sugar Percentile" dataDxfId="13" totalsRowDxfId="6" dataCellStyle="Percent"/>
    <tableColumn id="19" name="Sugar Class" dataDxfId="8" totalsRowDxfId="5" dataCellStyle="Percent">
      <calculatedColumnFormula>VLOOKUP(TableExploration[[#This Row],[Sugar Percentile]],$V$10:$W$13,2)</calculatedColumnFormula>
    </tableColumn>
    <tableColumn id="12" name="Price Percentile" dataDxfId="17" totalsRowDxfId="4" dataCellStyle="Percent"/>
    <tableColumn id="18" name="Price Class" dataDxfId="9" totalsRowDxfId="3" dataCellStyle="Percent">
      <calculatedColumnFormula>VLOOKUP(TableExploration[[#This Row],[Price Percentile]],$V$5:$W$7,2)</calculatedColumnFormula>
    </tableColumn>
    <tableColumn id="13" name="Raw Win Percent"/>
    <tableColumn id="14" name="Win Percent" dataDxfId="16" totalsRowDxfId="2" dataCellStyle="Percent">
      <calculatedColumnFormula>P2/100</calculatedColumnFormula>
    </tableColumn>
    <tableColumn id="17" name="Column1" totalsRowFunction="sum" dataDxfId="10" totalsRowDxfId="1" dataCellStyle="Percent">
      <calculatedColumnFormula>_xlfn.RANK.EQ(TableExploration[[#This Row],[Win Percent]],Win,0)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2" workbookViewId="0">
      <selection activeCell="B31" sqref="B31"/>
    </sheetView>
  </sheetViews>
  <sheetFormatPr defaultRowHeight="15" x14ac:dyDescent="0.25"/>
  <cols>
    <col min="2" max="2" width="22.42578125" customWidth="1"/>
    <col min="3" max="3" width="17.5703125" customWidth="1"/>
  </cols>
  <sheetData>
    <row r="1" spans="1:5" x14ac:dyDescent="0.25">
      <c r="A1" s="4" t="s">
        <v>111</v>
      </c>
      <c r="B1" t="s">
        <v>112</v>
      </c>
    </row>
    <row r="2" spans="1:5" x14ac:dyDescent="0.25">
      <c r="A2" s="4" t="s">
        <v>113</v>
      </c>
      <c r="B2" s="7">
        <v>43480</v>
      </c>
    </row>
    <row r="3" spans="1:5" x14ac:dyDescent="0.25">
      <c r="A3" s="4" t="s">
        <v>114</v>
      </c>
      <c r="B3" t="s">
        <v>115</v>
      </c>
    </row>
    <row r="4" spans="1:5" x14ac:dyDescent="0.25">
      <c r="A4" s="4"/>
    </row>
    <row r="5" spans="1:5" x14ac:dyDescent="0.25">
      <c r="A5" s="4" t="s">
        <v>116</v>
      </c>
      <c r="B5" t="s">
        <v>117</v>
      </c>
    </row>
    <row r="6" spans="1:5" x14ac:dyDescent="0.25">
      <c r="A6" s="4" t="s">
        <v>118</v>
      </c>
      <c r="B6" t="s">
        <v>119</v>
      </c>
    </row>
    <row r="7" spans="1:5" x14ac:dyDescent="0.25">
      <c r="A7" s="4"/>
    </row>
    <row r="8" spans="1:5" x14ac:dyDescent="0.25">
      <c r="A8" s="4" t="s">
        <v>121</v>
      </c>
    </row>
    <row r="9" spans="1:5" x14ac:dyDescent="0.25">
      <c r="A9" s="4"/>
      <c r="B9" t="s">
        <v>122</v>
      </c>
      <c r="C9" t="s">
        <v>123</v>
      </c>
    </row>
    <row r="10" spans="1:5" x14ac:dyDescent="0.25">
      <c r="A10" s="4"/>
      <c r="B10" t="s">
        <v>154</v>
      </c>
      <c r="C10" t="s">
        <v>155</v>
      </c>
    </row>
    <row r="11" spans="1:5" x14ac:dyDescent="0.25">
      <c r="A11" s="4"/>
      <c r="B11" t="s">
        <v>158</v>
      </c>
      <c r="C11" t="s">
        <v>159</v>
      </c>
    </row>
    <row r="12" spans="1:5" x14ac:dyDescent="0.25">
      <c r="A12" s="4"/>
      <c r="B12" t="s">
        <v>161</v>
      </c>
      <c r="C12" t="s">
        <v>162</v>
      </c>
    </row>
    <row r="13" spans="1:5" x14ac:dyDescent="0.25">
      <c r="A13" s="4"/>
    </row>
    <row r="14" spans="1:5" x14ac:dyDescent="0.25">
      <c r="A14" s="4" t="s">
        <v>120</v>
      </c>
    </row>
    <row r="15" spans="1:5" x14ac:dyDescent="0.25">
      <c r="A15" s="4"/>
      <c r="B15" s="4" t="s">
        <v>137</v>
      </c>
      <c r="C15" s="4" t="s">
        <v>138</v>
      </c>
      <c r="D15" s="4" t="s">
        <v>139</v>
      </c>
      <c r="E15" s="4" t="s">
        <v>141</v>
      </c>
    </row>
    <row r="16" spans="1:5" x14ac:dyDescent="0.25">
      <c r="B16" t="s">
        <v>0</v>
      </c>
      <c r="C16" s="9" t="s">
        <v>101</v>
      </c>
      <c r="D16" s="8" t="s">
        <v>140</v>
      </c>
    </row>
    <row r="17" spans="2:5" x14ac:dyDescent="0.25">
      <c r="B17" t="s">
        <v>1</v>
      </c>
      <c r="C17" s="9" t="s">
        <v>102</v>
      </c>
      <c r="D17" s="8" t="s">
        <v>140</v>
      </c>
      <c r="E17" t="s">
        <v>124</v>
      </c>
    </row>
    <row r="18" spans="2:5" x14ac:dyDescent="0.25">
      <c r="B18" t="s">
        <v>2</v>
      </c>
      <c r="C18" s="9" t="s">
        <v>103</v>
      </c>
      <c r="D18" s="8" t="s">
        <v>140</v>
      </c>
      <c r="E18" t="s">
        <v>125</v>
      </c>
    </row>
    <row r="19" spans="2:5" x14ac:dyDescent="0.25">
      <c r="B19" t="s">
        <v>3</v>
      </c>
      <c r="C19" s="9" t="s">
        <v>104</v>
      </c>
      <c r="D19" s="8" t="s">
        <v>140</v>
      </c>
      <c r="E19" t="s">
        <v>126</v>
      </c>
    </row>
    <row r="20" spans="2:5" x14ac:dyDescent="0.25">
      <c r="B20" t="s">
        <v>127</v>
      </c>
      <c r="C20" s="9" t="s">
        <v>110</v>
      </c>
      <c r="D20" s="8" t="s">
        <v>140</v>
      </c>
      <c r="E20" t="s">
        <v>128</v>
      </c>
    </row>
    <row r="21" spans="2:5" x14ac:dyDescent="0.25">
      <c r="B21" t="s">
        <v>4</v>
      </c>
      <c r="C21" s="9" t="s">
        <v>105</v>
      </c>
      <c r="D21" s="8" t="s">
        <v>140</v>
      </c>
      <c r="E21" t="s">
        <v>129</v>
      </c>
    </row>
    <row r="22" spans="2:5" x14ac:dyDescent="0.25">
      <c r="B22" t="s">
        <v>5</v>
      </c>
      <c r="C22" s="9" t="s">
        <v>106</v>
      </c>
      <c r="D22" s="8" t="s">
        <v>140</v>
      </c>
      <c r="E22" t="s">
        <v>130</v>
      </c>
    </row>
    <row r="23" spans="2:5" x14ac:dyDescent="0.25">
      <c r="B23" t="s">
        <v>6</v>
      </c>
      <c r="C23" s="9" t="s">
        <v>107</v>
      </c>
      <c r="D23" s="8" t="s">
        <v>140</v>
      </c>
      <c r="E23" t="s">
        <v>131</v>
      </c>
    </row>
    <row r="24" spans="2:5" x14ac:dyDescent="0.25">
      <c r="B24" t="s">
        <v>7</v>
      </c>
      <c r="C24" s="9" t="s">
        <v>108</v>
      </c>
      <c r="D24" s="8" t="s">
        <v>140</v>
      </c>
      <c r="E24" t="s">
        <v>132</v>
      </c>
    </row>
    <row r="25" spans="2:5" ht="30" x14ac:dyDescent="0.25">
      <c r="B25" t="s">
        <v>8</v>
      </c>
      <c r="C25" s="9" t="s">
        <v>109</v>
      </c>
      <c r="D25" s="8" t="s">
        <v>140</v>
      </c>
      <c r="E25" t="s">
        <v>133</v>
      </c>
    </row>
    <row r="26" spans="2:5" x14ac:dyDescent="0.25">
      <c r="B26" t="s">
        <v>9</v>
      </c>
      <c r="C26" s="10" t="s">
        <v>100</v>
      </c>
      <c r="D26" s="8" t="s">
        <v>140</v>
      </c>
      <c r="E26" t="s">
        <v>134</v>
      </c>
    </row>
    <row r="27" spans="2:5" x14ac:dyDescent="0.25">
      <c r="B27" t="s">
        <v>10</v>
      </c>
      <c r="C27" s="10" t="s">
        <v>99</v>
      </c>
      <c r="D27" s="8" t="s">
        <v>140</v>
      </c>
      <c r="E27" t="s">
        <v>135</v>
      </c>
    </row>
    <row r="28" spans="2:5" x14ac:dyDescent="0.25">
      <c r="B28" t="s">
        <v>11</v>
      </c>
      <c r="C28" s="9" t="s">
        <v>98</v>
      </c>
      <c r="D28" s="8" t="s">
        <v>140</v>
      </c>
      <c r="E28" t="s">
        <v>136</v>
      </c>
    </row>
    <row r="29" spans="2:5" x14ac:dyDescent="0.25">
      <c r="C29" s="10" t="s">
        <v>97</v>
      </c>
      <c r="D29" s="8" t="s">
        <v>142</v>
      </c>
      <c r="E29" t="s">
        <v>143</v>
      </c>
    </row>
    <row r="31" spans="2:5" x14ac:dyDescent="0.25">
      <c r="B31" s="4" t="s">
        <v>161</v>
      </c>
    </row>
    <row r="35" spans="3:3" x14ac:dyDescent="0.25">
      <c r="C35" s="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B1" sqref="B1"/>
    </sheetView>
  </sheetViews>
  <sheetFormatPr defaultRowHeight="15" x14ac:dyDescent="0.25"/>
  <cols>
    <col min="1" max="1" width="27.85546875" bestFit="1" customWidth="1"/>
    <col min="2" max="2" width="9.5703125" bestFit="1" customWidth="1"/>
    <col min="3" max="3" width="5.85546875" customWidth="1"/>
    <col min="4" max="4" width="8" customWidth="1"/>
    <col min="5" max="5" width="8.5703125" customWidth="1"/>
    <col min="6" max="6" width="7.140625" customWidth="1"/>
    <col min="7" max="7" width="7.28515625" customWidth="1"/>
    <col min="8" max="8" width="5" customWidth="1"/>
    <col min="9" max="9" width="3.85546875" customWidth="1"/>
    <col min="10" max="10" width="9.5703125" customWidth="1"/>
    <col min="11" max="11" width="12.5703125" style="3" bestFit="1" customWidth="1"/>
    <col min="12" max="12" width="12.28515625" style="3" bestFit="1" customWidth="1"/>
    <col min="13" max="13" width="11.140625" hidden="1" customWidth="1"/>
    <col min="14" max="14" width="9.140625" style="3"/>
  </cols>
  <sheetData>
    <row r="1" spans="1:14" ht="45" x14ac:dyDescent="0.25">
      <c r="A1" s="5" t="s">
        <v>101</v>
      </c>
      <c r="B1" s="5" t="s">
        <v>102</v>
      </c>
      <c r="C1" s="5" t="s">
        <v>103</v>
      </c>
      <c r="D1" s="5" t="s">
        <v>104</v>
      </c>
      <c r="E1" s="5" t="s">
        <v>110</v>
      </c>
      <c r="F1" s="5" t="s">
        <v>105</v>
      </c>
      <c r="G1" s="5" t="s">
        <v>106</v>
      </c>
      <c r="H1" s="5" t="s">
        <v>107</v>
      </c>
      <c r="I1" s="5" t="s">
        <v>108</v>
      </c>
      <c r="J1" s="5" t="s">
        <v>109</v>
      </c>
      <c r="K1" s="6" t="s">
        <v>152</v>
      </c>
      <c r="L1" s="6" t="s">
        <v>153</v>
      </c>
      <c r="M1" s="5" t="s">
        <v>98</v>
      </c>
      <c r="N1" s="6" t="s">
        <v>97</v>
      </c>
    </row>
    <row r="2" spans="1:14" x14ac:dyDescent="0.25">
      <c r="A2" t="s">
        <v>12</v>
      </c>
      <c r="B2">
        <v>1</v>
      </c>
      <c r="C2">
        <v>0</v>
      </c>
      <c r="D2">
        <v>1</v>
      </c>
      <c r="E2">
        <v>0</v>
      </c>
      <c r="F2">
        <v>0</v>
      </c>
      <c r="G2">
        <v>1</v>
      </c>
      <c r="H2">
        <v>0</v>
      </c>
      <c r="I2">
        <v>1</v>
      </c>
      <c r="J2">
        <v>0</v>
      </c>
      <c r="K2" s="3">
        <v>0.73199999000000004</v>
      </c>
      <c r="L2" s="3">
        <v>0.86000001000000004</v>
      </c>
      <c r="M2">
        <v>66.971725000000006</v>
      </c>
      <c r="N2" s="3">
        <f>M2/100</f>
        <v>0.66971725000000004</v>
      </c>
    </row>
    <row r="3" spans="1:14" x14ac:dyDescent="0.25">
      <c r="A3" t="s">
        <v>13</v>
      </c>
      <c r="B3">
        <v>1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1</v>
      </c>
      <c r="J3">
        <v>0</v>
      </c>
      <c r="K3" s="3">
        <v>0.60399997000000005</v>
      </c>
      <c r="L3" s="3">
        <v>0.51099998000000002</v>
      </c>
      <c r="M3">
        <v>67.602936</v>
      </c>
      <c r="N3" s="3">
        <f t="shared" ref="N3:N66" si="0">M3/100</f>
        <v>0.67602936000000002</v>
      </c>
    </row>
    <row r="4" spans="1:14" x14ac:dyDescent="0.25">
      <c r="A4" t="s">
        <v>14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 s="3">
        <v>1.0999999999999999E-2</v>
      </c>
      <c r="L4" s="3">
        <v>0.11600000000000001</v>
      </c>
      <c r="M4">
        <v>32.261085999999999</v>
      </c>
      <c r="N4" s="3">
        <f t="shared" si="0"/>
        <v>0.32261086</v>
      </c>
    </row>
    <row r="5" spans="1:14" x14ac:dyDescent="0.25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 s="3">
        <v>1.0999999999999999E-2</v>
      </c>
      <c r="L5" s="3">
        <v>0.51099998000000002</v>
      </c>
      <c r="M5">
        <v>46.116504999999997</v>
      </c>
      <c r="N5" s="3">
        <f t="shared" si="0"/>
        <v>0.46116504999999997</v>
      </c>
    </row>
    <row r="6" spans="1:14" x14ac:dyDescent="0.25">
      <c r="A6" t="s">
        <v>16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 s="3">
        <v>0.90600002000000002</v>
      </c>
      <c r="L6" s="3">
        <v>0.51099998000000002</v>
      </c>
      <c r="M6">
        <v>52.341464999999999</v>
      </c>
      <c r="N6" s="3">
        <f t="shared" si="0"/>
        <v>0.52341464999999998</v>
      </c>
    </row>
    <row r="7" spans="1:14" x14ac:dyDescent="0.25">
      <c r="A7" t="s">
        <v>17</v>
      </c>
      <c r="B7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0</v>
      </c>
      <c r="K7" s="3">
        <v>0.46500000000000002</v>
      </c>
      <c r="L7" s="3">
        <v>0.76700002</v>
      </c>
      <c r="M7">
        <v>50.347546000000001</v>
      </c>
      <c r="N7" s="3">
        <f t="shared" si="0"/>
        <v>0.50347545999999999</v>
      </c>
    </row>
    <row r="8" spans="1:14" x14ac:dyDescent="0.25">
      <c r="A8" t="s">
        <v>18</v>
      </c>
      <c r="B8">
        <v>1</v>
      </c>
      <c r="C8">
        <v>0</v>
      </c>
      <c r="D8">
        <v>1</v>
      </c>
      <c r="E8">
        <v>1</v>
      </c>
      <c r="F8">
        <v>1</v>
      </c>
      <c r="G8">
        <v>0</v>
      </c>
      <c r="H8">
        <v>0</v>
      </c>
      <c r="I8">
        <v>1</v>
      </c>
      <c r="J8">
        <v>0</v>
      </c>
      <c r="K8" s="3">
        <v>0.60399997000000005</v>
      </c>
      <c r="L8" s="3">
        <v>0.76700002</v>
      </c>
      <c r="M8">
        <v>56.914546999999999</v>
      </c>
      <c r="N8" s="3">
        <f t="shared" si="0"/>
        <v>0.56914547000000004</v>
      </c>
    </row>
    <row r="9" spans="1:14" x14ac:dyDescent="0.25">
      <c r="A9" t="s">
        <v>19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1</v>
      </c>
      <c r="K9" s="3">
        <v>0.31299999000000001</v>
      </c>
      <c r="L9" s="3">
        <v>0.51099998000000002</v>
      </c>
      <c r="M9">
        <v>23.417824</v>
      </c>
      <c r="N9" s="3">
        <f t="shared" si="0"/>
        <v>0.23417823999999998</v>
      </c>
    </row>
    <row r="10" spans="1:14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 s="3">
        <v>0.90600002000000002</v>
      </c>
      <c r="L10" s="3">
        <v>0.32499999000000002</v>
      </c>
      <c r="M10">
        <v>38.010962999999997</v>
      </c>
      <c r="N10" s="3">
        <f t="shared" si="0"/>
        <v>0.38010962999999998</v>
      </c>
    </row>
    <row r="11" spans="1:14" x14ac:dyDescent="0.25">
      <c r="A11" t="s">
        <v>21</v>
      </c>
      <c r="B11">
        <v>0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3">
        <v>0.60399997000000005</v>
      </c>
      <c r="L11" s="3">
        <v>0.32499999000000002</v>
      </c>
      <c r="M11">
        <v>34.517681000000003</v>
      </c>
      <c r="N11" s="3">
        <f t="shared" si="0"/>
        <v>0.34517681000000006</v>
      </c>
    </row>
    <row r="12" spans="1:14" x14ac:dyDescent="0.25">
      <c r="A12" t="s">
        <v>22</v>
      </c>
      <c r="B12">
        <v>1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1</v>
      </c>
      <c r="J12">
        <v>0</v>
      </c>
      <c r="K12" s="3">
        <v>0.60399997000000005</v>
      </c>
      <c r="L12" s="3">
        <v>0.51099998000000002</v>
      </c>
      <c r="M12">
        <v>38.975037</v>
      </c>
      <c r="N12" s="3">
        <f t="shared" si="0"/>
        <v>0.38975037000000001</v>
      </c>
    </row>
    <row r="13" spans="1:14" x14ac:dyDescent="0.25">
      <c r="A13" t="s">
        <v>23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 s="3">
        <v>0.73199999000000004</v>
      </c>
      <c r="L13" s="3">
        <v>0.51099998000000002</v>
      </c>
      <c r="M13">
        <v>36.017628000000002</v>
      </c>
      <c r="N13" s="3">
        <f t="shared" si="0"/>
        <v>0.36017628000000002</v>
      </c>
    </row>
    <row r="14" spans="1:14" x14ac:dyDescent="0.25">
      <c r="A14" t="s">
        <v>24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 s="3">
        <v>4.5999999999999999E-2</v>
      </c>
      <c r="L14" s="3">
        <v>0.32499999000000002</v>
      </c>
      <c r="M14">
        <v>24.524988</v>
      </c>
      <c r="N14" s="3">
        <f t="shared" si="0"/>
        <v>0.24524988</v>
      </c>
    </row>
    <row r="15" spans="1:14" x14ac:dyDescent="0.25">
      <c r="A15" t="s">
        <v>25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 s="3">
        <v>0.73199999000000004</v>
      </c>
      <c r="L15" s="3">
        <v>0.51099998000000002</v>
      </c>
      <c r="M15">
        <v>42.272075999999998</v>
      </c>
      <c r="N15" s="3">
        <f t="shared" si="0"/>
        <v>0.42272075999999997</v>
      </c>
    </row>
    <row r="16" spans="1:14" x14ac:dyDescent="0.25">
      <c r="A16" t="s">
        <v>26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 s="3">
        <v>0.73199999000000004</v>
      </c>
      <c r="L16" s="3">
        <v>3.4000002000000001E-2</v>
      </c>
      <c r="M16">
        <v>39.460555999999997</v>
      </c>
      <c r="N16" s="3">
        <f t="shared" si="0"/>
        <v>0.39460555999999997</v>
      </c>
    </row>
    <row r="17" spans="1:14" x14ac:dyDescent="0.25">
      <c r="A17" t="s">
        <v>27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 s="3">
        <v>0.127</v>
      </c>
      <c r="L17" s="3">
        <v>3.4000002000000001E-2</v>
      </c>
      <c r="M17">
        <v>43.088923999999999</v>
      </c>
      <c r="N17" s="3">
        <f t="shared" si="0"/>
        <v>0.43088924000000001</v>
      </c>
    </row>
    <row r="18" spans="1:14" x14ac:dyDescent="0.25">
      <c r="A18" t="s">
        <v>28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 s="3">
        <v>0.73199999000000004</v>
      </c>
      <c r="L18" s="3">
        <v>0.32499999000000002</v>
      </c>
      <c r="M18">
        <v>39.185504999999999</v>
      </c>
      <c r="N18" s="3">
        <f t="shared" si="0"/>
        <v>0.39185504999999998</v>
      </c>
    </row>
    <row r="19" spans="1:14" x14ac:dyDescent="0.25">
      <c r="A19" t="s">
        <v>29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1</v>
      </c>
      <c r="K19" s="3">
        <v>0.90600002000000002</v>
      </c>
      <c r="L19" s="3">
        <v>0.45300001000000001</v>
      </c>
      <c r="M19">
        <v>46.783347999999997</v>
      </c>
      <c r="N19" s="3">
        <f t="shared" si="0"/>
        <v>0.46783347999999997</v>
      </c>
    </row>
    <row r="20" spans="1:14" x14ac:dyDescent="0.25">
      <c r="A20" t="s">
        <v>30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 s="3">
        <v>0.46500000000000002</v>
      </c>
      <c r="L20" s="3">
        <v>0.46500000000000002</v>
      </c>
      <c r="M20">
        <v>57.11974</v>
      </c>
      <c r="N20" s="3">
        <f t="shared" si="0"/>
        <v>0.57119739999999997</v>
      </c>
    </row>
    <row r="21" spans="1:14" x14ac:dyDescent="0.25">
      <c r="A21" t="s">
        <v>31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 s="3">
        <v>0.46500000000000002</v>
      </c>
      <c r="L21" s="3">
        <v>0.46500000000000002</v>
      </c>
      <c r="M21">
        <v>34.158957999999998</v>
      </c>
      <c r="N21" s="3">
        <f t="shared" si="0"/>
        <v>0.34158958</v>
      </c>
    </row>
    <row r="22" spans="1:14" x14ac:dyDescent="0.25">
      <c r="A22" t="s">
        <v>32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 s="3">
        <v>0.46500000000000002</v>
      </c>
      <c r="L22" s="3">
        <v>0.46500000000000002</v>
      </c>
      <c r="M22">
        <v>51.412430000000001</v>
      </c>
      <c r="N22" s="3">
        <f t="shared" si="0"/>
        <v>0.51412429999999998</v>
      </c>
    </row>
    <row r="23" spans="1:14" x14ac:dyDescent="0.25">
      <c r="A23" t="s">
        <v>33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 s="3">
        <v>0.46500000000000002</v>
      </c>
      <c r="L23" s="3">
        <v>0.46500000000000002</v>
      </c>
      <c r="M23">
        <v>42.178772000000002</v>
      </c>
      <c r="N23" s="3">
        <f t="shared" si="0"/>
        <v>0.42178772000000003</v>
      </c>
    </row>
    <row r="24" spans="1:14" x14ac:dyDescent="0.25">
      <c r="A24" t="s">
        <v>85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 s="3">
        <v>0.127</v>
      </c>
      <c r="L24" s="3">
        <v>9.3000001999999998E-2</v>
      </c>
      <c r="M24">
        <v>55.375453999999998</v>
      </c>
      <c r="N24" s="3">
        <f t="shared" si="0"/>
        <v>0.55375454000000002</v>
      </c>
    </row>
    <row r="25" spans="1:14" x14ac:dyDescent="0.25">
      <c r="A25" t="s">
        <v>86</v>
      </c>
      <c r="B25">
        <v>1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1</v>
      </c>
      <c r="J25">
        <v>0</v>
      </c>
      <c r="K25" s="3">
        <v>0.43000000999999999</v>
      </c>
      <c r="L25" s="3">
        <v>0.91799998000000005</v>
      </c>
      <c r="M25">
        <v>62.284481</v>
      </c>
      <c r="N25" s="3">
        <f t="shared" si="0"/>
        <v>0.62284481000000003</v>
      </c>
    </row>
    <row r="26" spans="1:14" x14ac:dyDescent="0.25">
      <c r="A26" t="s">
        <v>87</v>
      </c>
      <c r="B26">
        <v>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 s="3">
        <v>0.43000000999999999</v>
      </c>
      <c r="L26" s="3">
        <v>0.91799998000000005</v>
      </c>
      <c r="M26">
        <v>56.490501000000002</v>
      </c>
      <c r="N26" s="3">
        <f t="shared" si="0"/>
        <v>0.56490501000000004</v>
      </c>
    </row>
    <row r="27" spans="1:14" x14ac:dyDescent="0.25">
      <c r="A27" t="s">
        <v>88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 s="3">
        <v>0.43000000999999999</v>
      </c>
      <c r="L27" s="3">
        <v>0.91799998000000005</v>
      </c>
      <c r="M27">
        <v>59.236122000000002</v>
      </c>
      <c r="N27" s="3">
        <f t="shared" si="0"/>
        <v>0.59236122000000002</v>
      </c>
    </row>
    <row r="28" spans="1:14" x14ac:dyDescent="0.25">
      <c r="A28" t="s">
        <v>34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1</v>
      </c>
      <c r="K28" s="3">
        <v>9.3000001999999998E-2</v>
      </c>
      <c r="L28" s="3">
        <v>0.51099998000000002</v>
      </c>
      <c r="M28">
        <v>28.127438999999999</v>
      </c>
      <c r="N28" s="3">
        <f t="shared" si="0"/>
        <v>0.28127438999999999</v>
      </c>
    </row>
    <row r="29" spans="1:14" x14ac:dyDescent="0.25">
      <c r="A29" t="s">
        <v>35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 s="3">
        <v>0.19700000000000001</v>
      </c>
      <c r="L29" s="3">
        <v>0.51099998000000002</v>
      </c>
      <c r="M29">
        <v>57.219250000000002</v>
      </c>
      <c r="N29" s="3">
        <f t="shared" si="0"/>
        <v>0.57219249999999999</v>
      </c>
    </row>
    <row r="30" spans="1:14" x14ac:dyDescent="0.25">
      <c r="A30" t="s">
        <v>36</v>
      </c>
      <c r="B30">
        <v>1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1</v>
      </c>
      <c r="J30">
        <v>0</v>
      </c>
      <c r="K30" s="3">
        <v>0.31299999000000001</v>
      </c>
      <c r="L30" s="3">
        <v>0.51099998000000002</v>
      </c>
      <c r="M30">
        <v>76.768600000000006</v>
      </c>
      <c r="N30" s="3">
        <f t="shared" si="0"/>
        <v>0.76768600000000009</v>
      </c>
    </row>
    <row r="31" spans="1:14" x14ac:dyDescent="0.25">
      <c r="A31" t="s">
        <v>37</v>
      </c>
      <c r="B31">
        <v>0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 s="3">
        <v>0.22</v>
      </c>
      <c r="L31" s="3">
        <v>0.11600000000000001</v>
      </c>
      <c r="M31">
        <v>41.389557000000003</v>
      </c>
      <c r="N31" s="3">
        <f t="shared" si="0"/>
        <v>0.41389557000000005</v>
      </c>
    </row>
    <row r="32" spans="1:14" x14ac:dyDescent="0.25">
      <c r="A32" t="s">
        <v>38</v>
      </c>
      <c r="B32">
        <v>0</v>
      </c>
      <c r="C32">
        <v>1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 s="3">
        <v>4.5999999999999999E-2</v>
      </c>
      <c r="L32" s="3">
        <v>0.104</v>
      </c>
      <c r="M32">
        <v>39.141055999999999</v>
      </c>
      <c r="N32" s="3">
        <f t="shared" si="0"/>
        <v>0.39141055999999996</v>
      </c>
    </row>
    <row r="33" spans="1:14" x14ac:dyDescent="0.25">
      <c r="A33" t="s">
        <v>39</v>
      </c>
      <c r="B33">
        <v>0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3">
        <v>0.26699999000000002</v>
      </c>
      <c r="L33" s="3">
        <v>0.27900001000000002</v>
      </c>
      <c r="M33">
        <v>52.911391999999999</v>
      </c>
      <c r="N33" s="3">
        <f t="shared" si="0"/>
        <v>0.52911392000000002</v>
      </c>
    </row>
    <row r="34" spans="1:14" x14ac:dyDescent="0.25">
      <c r="A34" t="s">
        <v>89</v>
      </c>
      <c r="B34">
        <v>1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  <c r="K34" s="3">
        <v>0.82499999000000002</v>
      </c>
      <c r="L34" s="3">
        <v>0.65100002000000001</v>
      </c>
      <c r="M34">
        <v>71.465050000000005</v>
      </c>
      <c r="N34" s="3">
        <f t="shared" si="0"/>
        <v>0.71465050000000008</v>
      </c>
    </row>
    <row r="35" spans="1:14" x14ac:dyDescent="0.25">
      <c r="A35" t="s">
        <v>90</v>
      </c>
      <c r="B35">
        <v>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 s="3">
        <v>0.82499999000000002</v>
      </c>
      <c r="L35" s="3">
        <v>0.65100002000000001</v>
      </c>
      <c r="M35">
        <v>66.574584999999999</v>
      </c>
      <c r="N35" s="3">
        <f t="shared" si="0"/>
        <v>0.66574584999999997</v>
      </c>
    </row>
    <row r="36" spans="1:14" x14ac:dyDescent="0.25">
      <c r="A36" t="s">
        <v>40</v>
      </c>
      <c r="B36">
        <v>0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 s="3">
        <v>0.87199998000000001</v>
      </c>
      <c r="L36" s="3">
        <v>0.32499999000000002</v>
      </c>
      <c r="M36">
        <v>46.411715999999998</v>
      </c>
      <c r="N36" s="3">
        <f t="shared" si="0"/>
        <v>0.46411715999999997</v>
      </c>
    </row>
    <row r="37" spans="1:14" x14ac:dyDescent="0.25">
      <c r="A37" t="s">
        <v>41</v>
      </c>
      <c r="B37">
        <v>1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 s="3">
        <v>0.30199999</v>
      </c>
      <c r="L37" s="3">
        <v>0.51099998000000002</v>
      </c>
      <c r="M37">
        <v>55.064072000000003</v>
      </c>
      <c r="N37" s="3">
        <f t="shared" si="0"/>
        <v>0.55064072000000008</v>
      </c>
    </row>
    <row r="38" spans="1:14" x14ac:dyDescent="0.25">
      <c r="A38" t="s">
        <v>42</v>
      </c>
      <c r="B38">
        <v>1</v>
      </c>
      <c r="C38">
        <v>0</v>
      </c>
      <c r="D38">
        <v>1</v>
      </c>
      <c r="E38">
        <v>0</v>
      </c>
      <c r="F38">
        <v>1</v>
      </c>
      <c r="G38">
        <v>0</v>
      </c>
      <c r="H38">
        <v>0</v>
      </c>
      <c r="I38">
        <v>1</v>
      </c>
      <c r="J38">
        <v>0</v>
      </c>
      <c r="K38" s="3">
        <v>0.60399997000000005</v>
      </c>
      <c r="L38" s="3">
        <v>0.65100002000000001</v>
      </c>
      <c r="M38">
        <v>73.099556000000007</v>
      </c>
      <c r="N38" s="3">
        <f t="shared" si="0"/>
        <v>0.7309955600000001</v>
      </c>
    </row>
    <row r="39" spans="1:14" x14ac:dyDescent="0.25">
      <c r="A39" t="s">
        <v>43</v>
      </c>
      <c r="B39">
        <v>1</v>
      </c>
      <c r="C39">
        <v>0</v>
      </c>
      <c r="D39">
        <v>1</v>
      </c>
      <c r="E39">
        <v>0</v>
      </c>
      <c r="F39">
        <v>1</v>
      </c>
      <c r="G39">
        <v>0</v>
      </c>
      <c r="H39">
        <v>0</v>
      </c>
      <c r="I39">
        <v>1</v>
      </c>
      <c r="J39">
        <v>0</v>
      </c>
      <c r="K39" s="3">
        <v>0.73199999000000004</v>
      </c>
      <c r="L39" s="3">
        <v>0.44100001</v>
      </c>
      <c r="M39">
        <v>60.800700999999997</v>
      </c>
      <c r="N39" s="3">
        <f t="shared" si="0"/>
        <v>0.60800701000000001</v>
      </c>
    </row>
    <row r="40" spans="1:14" x14ac:dyDescent="0.25">
      <c r="A40" t="s">
        <v>44</v>
      </c>
      <c r="B40">
        <v>1</v>
      </c>
      <c r="C40">
        <v>0</v>
      </c>
      <c r="D40">
        <v>1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 s="3">
        <v>0.96499997000000004</v>
      </c>
      <c r="L40" s="3">
        <v>0.86000001000000004</v>
      </c>
      <c r="M40">
        <v>64.353340000000003</v>
      </c>
      <c r="N40" s="3">
        <f t="shared" si="0"/>
        <v>0.64353340000000003</v>
      </c>
    </row>
    <row r="41" spans="1:14" x14ac:dyDescent="0.25">
      <c r="A41" t="s">
        <v>45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 s="3">
        <v>0.31299999000000001</v>
      </c>
      <c r="L41" s="3">
        <v>0.86000001000000004</v>
      </c>
      <c r="M41">
        <v>47.829754000000001</v>
      </c>
      <c r="N41" s="3">
        <f t="shared" si="0"/>
        <v>0.47829754000000002</v>
      </c>
    </row>
    <row r="42" spans="1:14" x14ac:dyDescent="0.25">
      <c r="A42" t="s">
        <v>46</v>
      </c>
      <c r="B42">
        <v>1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1</v>
      </c>
      <c r="J42">
        <v>0</v>
      </c>
      <c r="K42" s="3">
        <v>0.31299999000000001</v>
      </c>
      <c r="L42" s="3">
        <v>0.91799998000000005</v>
      </c>
      <c r="M42">
        <v>54.526451000000002</v>
      </c>
      <c r="N42" s="3">
        <f t="shared" si="0"/>
        <v>0.54526450999999998</v>
      </c>
    </row>
    <row r="43" spans="1:14" x14ac:dyDescent="0.25">
      <c r="A43" t="s">
        <v>47</v>
      </c>
      <c r="B43">
        <v>0</v>
      </c>
      <c r="C43">
        <v>1</v>
      </c>
      <c r="D43">
        <v>0</v>
      </c>
      <c r="E43">
        <v>0</v>
      </c>
      <c r="F43">
        <v>0</v>
      </c>
      <c r="G43">
        <v>0</v>
      </c>
      <c r="H43">
        <v>1</v>
      </c>
      <c r="I43">
        <v>0</v>
      </c>
      <c r="J43">
        <v>1</v>
      </c>
      <c r="K43" s="3">
        <v>0.84799999000000004</v>
      </c>
      <c r="L43" s="3">
        <v>0.32499999000000002</v>
      </c>
      <c r="M43">
        <v>55.354045999999997</v>
      </c>
      <c r="N43" s="3">
        <f t="shared" si="0"/>
        <v>0.55354046000000001</v>
      </c>
    </row>
    <row r="44" spans="1:14" x14ac:dyDescent="0.25">
      <c r="A44" t="s">
        <v>48</v>
      </c>
      <c r="B44">
        <v>1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1</v>
      </c>
      <c r="J44">
        <v>0</v>
      </c>
      <c r="K44" s="3">
        <v>0.60399997000000005</v>
      </c>
      <c r="L44" s="3">
        <v>0.76700002</v>
      </c>
      <c r="M44">
        <v>70.735641000000001</v>
      </c>
      <c r="N44" s="3">
        <f t="shared" si="0"/>
        <v>0.70735641000000005</v>
      </c>
    </row>
    <row r="45" spans="1:14" x14ac:dyDescent="0.25">
      <c r="A45" t="s">
        <v>49</v>
      </c>
      <c r="B45">
        <v>1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1</v>
      </c>
      <c r="J45">
        <v>0</v>
      </c>
      <c r="K45" s="3">
        <v>0.31299999000000001</v>
      </c>
      <c r="L45" s="3">
        <v>0.76700002</v>
      </c>
      <c r="M45">
        <v>66.470680000000002</v>
      </c>
      <c r="N45" s="3">
        <f t="shared" si="0"/>
        <v>0.66470680000000004</v>
      </c>
    </row>
    <row r="46" spans="1:14" x14ac:dyDescent="0.25">
      <c r="A46" t="s">
        <v>50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 s="3">
        <v>0.19700000000000001</v>
      </c>
      <c r="L46" s="3">
        <v>0.97600001000000003</v>
      </c>
      <c r="M46">
        <v>22.445340999999999</v>
      </c>
      <c r="N46" s="3">
        <f t="shared" si="0"/>
        <v>0.22445340999999999</v>
      </c>
    </row>
    <row r="47" spans="1:14" x14ac:dyDescent="0.25">
      <c r="A47" t="s">
        <v>51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 s="3">
        <v>0.22</v>
      </c>
      <c r="L47" s="3">
        <v>0.32499999000000002</v>
      </c>
      <c r="M47">
        <v>39.446800000000003</v>
      </c>
      <c r="N47" s="3">
        <f t="shared" si="0"/>
        <v>0.39446800000000004</v>
      </c>
    </row>
    <row r="48" spans="1:14" x14ac:dyDescent="0.25">
      <c r="A48" t="s">
        <v>52</v>
      </c>
      <c r="B48">
        <v>0</v>
      </c>
      <c r="C48">
        <v>0</v>
      </c>
      <c r="D48">
        <v>0</v>
      </c>
      <c r="E48">
        <v>1</v>
      </c>
      <c r="F48">
        <v>1</v>
      </c>
      <c r="G48">
        <v>0</v>
      </c>
      <c r="H48">
        <v>0</v>
      </c>
      <c r="I48">
        <v>1</v>
      </c>
      <c r="J48">
        <v>0</v>
      </c>
      <c r="K48" s="3">
        <v>0.46500000000000002</v>
      </c>
      <c r="L48" s="3">
        <v>0.76700002</v>
      </c>
      <c r="M48">
        <v>46.296596999999998</v>
      </c>
      <c r="N48" s="3">
        <f t="shared" si="0"/>
        <v>0.46296597</v>
      </c>
    </row>
    <row r="49" spans="1:14" x14ac:dyDescent="0.25">
      <c r="A49" t="s">
        <v>53</v>
      </c>
      <c r="B49">
        <v>1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1</v>
      </c>
      <c r="K49" s="3">
        <v>0.59299999000000003</v>
      </c>
      <c r="L49" s="3">
        <v>0.65100002000000001</v>
      </c>
      <c r="M49">
        <v>69.483788000000004</v>
      </c>
      <c r="N49" s="3">
        <f t="shared" si="0"/>
        <v>0.69483788000000002</v>
      </c>
    </row>
    <row r="50" spans="1:14" x14ac:dyDescent="0.25">
      <c r="A50" t="s">
        <v>54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 s="3">
        <v>9.3000001999999998E-2</v>
      </c>
      <c r="L50" s="3">
        <v>2.3E-2</v>
      </c>
      <c r="M50">
        <v>37.722335999999999</v>
      </c>
      <c r="N50" s="3">
        <f t="shared" si="0"/>
        <v>0.37722336000000001</v>
      </c>
    </row>
    <row r="51" spans="1:14" x14ac:dyDescent="0.25">
      <c r="A51" t="s">
        <v>55</v>
      </c>
      <c r="B51">
        <v>0</v>
      </c>
      <c r="C51">
        <v>1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1</v>
      </c>
      <c r="K51" s="3">
        <v>0.60399997000000005</v>
      </c>
      <c r="L51" s="3">
        <v>0.83700001000000002</v>
      </c>
      <c r="M51">
        <v>41.265510999999996</v>
      </c>
      <c r="N51" s="3">
        <f t="shared" si="0"/>
        <v>0.41265510999999999</v>
      </c>
    </row>
    <row r="52" spans="1:14" x14ac:dyDescent="0.25">
      <c r="A52" t="s">
        <v>56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1</v>
      </c>
      <c r="K52" s="3">
        <v>0.58099997000000003</v>
      </c>
      <c r="L52" s="3">
        <v>0.11600000000000001</v>
      </c>
      <c r="M52">
        <v>37.348522000000003</v>
      </c>
      <c r="N52" s="3">
        <f t="shared" si="0"/>
        <v>0.37348522000000001</v>
      </c>
    </row>
    <row r="53" spans="1:14" x14ac:dyDescent="0.25">
      <c r="A53" t="s">
        <v>91</v>
      </c>
      <c r="B53">
        <v>1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 s="3">
        <v>3.4000002000000001E-2</v>
      </c>
      <c r="L53" s="3">
        <v>0.27900001000000002</v>
      </c>
      <c r="M53">
        <v>81.866257000000004</v>
      </c>
      <c r="N53" s="3">
        <f t="shared" si="0"/>
        <v>0.81866257000000009</v>
      </c>
    </row>
    <row r="54" spans="1:14" x14ac:dyDescent="0.25">
      <c r="A54" t="s">
        <v>92</v>
      </c>
      <c r="B54">
        <v>1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 s="3">
        <v>0.72000003000000001</v>
      </c>
      <c r="L54" s="3">
        <v>0.65100002000000001</v>
      </c>
      <c r="M54">
        <v>84.180289999999999</v>
      </c>
      <c r="N54" s="3">
        <f t="shared" si="0"/>
        <v>0.84180290000000002</v>
      </c>
    </row>
    <row r="55" spans="1:14" x14ac:dyDescent="0.25">
      <c r="A55" t="s">
        <v>93</v>
      </c>
      <c r="B55">
        <v>1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1</v>
      </c>
      <c r="K55" s="3">
        <v>0.40599998999999998</v>
      </c>
      <c r="L55" s="3">
        <v>0.65100002000000001</v>
      </c>
      <c r="M55">
        <v>73.434989999999999</v>
      </c>
      <c r="N55" s="3">
        <f t="shared" si="0"/>
        <v>0.7343499</v>
      </c>
    </row>
    <row r="56" spans="1:14" x14ac:dyDescent="0.25">
      <c r="A56" t="s">
        <v>94</v>
      </c>
      <c r="B56">
        <v>1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 s="3">
        <v>0.98799998</v>
      </c>
      <c r="L56" s="3">
        <v>0.65100002000000001</v>
      </c>
      <c r="M56">
        <v>72.887900999999999</v>
      </c>
      <c r="N56" s="3">
        <f t="shared" si="0"/>
        <v>0.72887900999999999</v>
      </c>
    </row>
    <row r="57" spans="1:14" x14ac:dyDescent="0.25">
      <c r="A57" t="s">
        <v>57</v>
      </c>
      <c r="B57">
        <v>0</v>
      </c>
      <c r="C57">
        <v>1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 s="3">
        <v>0.73199999000000004</v>
      </c>
      <c r="L57" s="3">
        <v>0.96499997000000004</v>
      </c>
      <c r="M57">
        <v>35.290756000000002</v>
      </c>
      <c r="N57" s="3">
        <f t="shared" si="0"/>
        <v>0.35290756000000001</v>
      </c>
    </row>
    <row r="58" spans="1:14" x14ac:dyDescent="0.25">
      <c r="A58" t="s">
        <v>58</v>
      </c>
      <c r="B58">
        <v>1</v>
      </c>
      <c r="C58">
        <v>0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 s="3">
        <v>0.86000001000000004</v>
      </c>
      <c r="L58" s="3">
        <v>0.86000001000000004</v>
      </c>
      <c r="M58">
        <v>65.716285999999997</v>
      </c>
      <c r="N58" s="3">
        <f t="shared" si="0"/>
        <v>0.65716286000000002</v>
      </c>
    </row>
    <row r="59" spans="1:14" x14ac:dyDescent="0.25">
      <c r="A59" t="s">
        <v>59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1</v>
      </c>
      <c r="K59" s="3">
        <v>0.73199999000000004</v>
      </c>
      <c r="L59" s="3">
        <v>6.8999998000000007E-2</v>
      </c>
      <c r="M59">
        <v>29.703690999999999</v>
      </c>
      <c r="N59" s="3">
        <f t="shared" si="0"/>
        <v>0.29703690999999999</v>
      </c>
    </row>
    <row r="60" spans="1:14" x14ac:dyDescent="0.25">
      <c r="A60" t="s">
        <v>60</v>
      </c>
      <c r="B60">
        <v>0</v>
      </c>
      <c r="C60">
        <v>1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1</v>
      </c>
      <c r="K60" s="3">
        <v>0.87199998000000001</v>
      </c>
      <c r="L60" s="3">
        <v>0.27900001000000002</v>
      </c>
      <c r="M60">
        <v>42.849144000000003</v>
      </c>
      <c r="N60" s="3">
        <f t="shared" si="0"/>
        <v>0.42849144</v>
      </c>
    </row>
    <row r="61" spans="1:14" x14ac:dyDescent="0.25">
      <c r="A61" t="s">
        <v>61</v>
      </c>
      <c r="B61">
        <v>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 s="3">
        <v>0.22</v>
      </c>
      <c r="L61" s="3">
        <v>8.1000000000000003E-2</v>
      </c>
      <c r="M61">
        <v>34.722000000000001</v>
      </c>
      <c r="N61" s="3">
        <f t="shared" si="0"/>
        <v>0.34722000000000003</v>
      </c>
    </row>
    <row r="62" spans="1:14" x14ac:dyDescent="0.25">
      <c r="A62" t="s">
        <v>62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 s="3">
        <v>0.94099997999999996</v>
      </c>
      <c r="L62" s="3">
        <v>0.22</v>
      </c>
      <c r="M62">
        <v>63.085140000000003</v>
      </c>
      <c r="N62" s="3">
        <f t="shared" si="0"/>
        <v>0.63085140000000006</v>
      </c>
    </row>
    <row r="63" spans="1:14" x14ac:dyDescent="0.25">
      <c r="A63" t="s">
        <v>63</v>
      </c>
      <c r="B63">
        <v>0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 s="3">
        <v>0.94099997999999996</v>
      </c>
      <c r="L63" s="3">
        <v>0.22</v>
      </c>
      <c r="M63">
        <v>55.103695000000002</v>
      </c>
      <c r="N63" s="3">
        <f t="shared" si="0"/>
        <v>0.55103694999999997</v>
      </c>
    </row>
    <row r="64" spans="1:14" x14ac:dyDescent="0.25">
      <c r="A64" t="s">
        <v>64</v>
      </c>
      <c r="B64">
        <v>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 s="3">
        <v>0.26699999000000002</v>
      </c>
      <c r="L64" s="3">
        <v>0.97600001000000003</v>
      </c>
      <c r="M64">
        <v>37.887188000000002</v>
      </c>
      <c r="N64" s="3">
        <f t="shared" si="0"/>
        <v>0.37887187999999999</v>
      </c>
    </row>
    <row r="65" spans="1:14" x14ac:dyDescent="0.25">
      <c r="A65" t="s">
        <v>65</v>
      </c>
      <c r="B65">
        <v>0</v>
      </c>
      <c r="C65">
        <v>1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1</v>
      </c>
      <c r="K65" s="3">
        <v>0.26699999000000002</v>
      </c>
      <c r="L65" s="3">
        <v>0.11600000000000001</v>
      </c>
      <c r="M65">
        <v>45.995826999999998</v>
      </c>
      <c r="N65" s="3">
        <f t="shared" si="0"/>
        <v>0.45995827</v>
      </c>
    </row>
    <row r="66" spans="1:14" x14ac:dyDescent="0.25">
      <c r="A66" t="s">
        <v>66</v>
      </c>
      <c r="B66">
        <v>1</v>
      </c>
      <c r="C66">
        <v>0</v>
      </c>
      <c r="D66">
        <v>1</v>
      </c>
      <c r="E66">
        <v>1</v>
      </c>
      <c r="F66">
        <v>1</v>
      </c>
      <c r="G66">
        <v>0</v>
      </c>
      <c r="H66">
        <v>0</v>
      </c>
      <c r="I66">
        <v>1</v>
      </c>
      <c r="J66">
        <v>0</v>
      </c>
      <c r="K66" s="3">
        <v>0.54600000000000004</v>
      </c>
      <c r="L66" s="3">
        <v>0.65100002000000001</v>
      </c>
      <c r="M66">
        <v>76.673782000000003</v>
      </c>
      <c r="N66" s="3">
        <f t="shared" si="0"/>
        <v>0.76673782000000001</v>
      </c>
    </row>
    <row r="67" spans="1:14" x14ac:dyDescent="0.25">
      <c r="A67" t="s">
        <v>67</v>
      </c>
      <c r="B67">
        <v>1</v>
      </c>
      <c r="C67">
        <v>0</v>
      </c>
      <c r="D67">
        <v>1</v>
      </c>
      <c r="E67">
        <v>1</v>
      </c>
      <c r="F67">
        <v>0</v>
      </c>
      <c r="G67">
        <v>1</v>
      </c>
      <c r="H67">
        <v>0</v>
      </c>
      <c r="I67">
        <v>1</v>
      </c>
      <c r="J67">
        <v>0</v>
      </c>
      <c r="K67" s="3">
        <v>0.60399997000000005</v>
      </c>
      <c r="L67" s="3">
        <v>0.65100002000000001</v>
      </c>
      <c r="M67">
        <v>59.529251000000002</v>
      </c>
      <c r="N67" s="3">
        <f t="shared" ref="N67:N86" si="1">M67/100</f>
        <v>0.59529251000000005</v>
      </c>
    </row>
    <row r="68" spans="1:14" x14ac:dyDescent="0.25">
      <c r="A68" t="s">
        <v>68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 s="3">
        <v>6.8999998000000007E-2</v>
      </c>
      <c r="L68" s="3">
        <v>0.11600000000000001</v>
      </c>
      <c r="M68">
        <v>59.863998000000002</v>
      </c>
      <c r="N68" s="3">
        <f t="shared" si="1"/>
        <v>0.59863998000000007</v>
      </c>
    </row>
    <row r="69" spans="1:14" x14ac:dyDescent="0.25">
      <c r="A69" t="s">
        <v>69</v>
      </c>
      <c r="B69">
        <v>0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 s="3">
        <v>6.8999998000000007E-2</v>
      </c>
      <c r="L69" s="3">
        <v>0.11600000000000001</v>
      </c>
      <c r="M69">
        <v>52.825946999999999</v>
      </c>
      <c r="N69" s="3">
        <f t="shared" si="1"/>
        <v>0.52825946999999995</v>
      </c>
    </row>
    <row r="70" spans="1:14" x14ac:dyDescent="0.25">
      <c r="A70" t="s">
        <v>70</v>
      </c>
      <c r="B70">
        <v>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 s="3">
        <v>0.15099999</v>
      </c>
      <c r="L70" s="3">
        <v>0.22</v>
      </c>
      <c r="M70">
        <v>67.037627999999998</v>
      </c>
      <c r="N70" s="3">
        <f t="shared" si="1"/>
        <v>0.67037627999999994</v>
      </c>
    </row>
    <row r="71" spans="1:14" x14ac:dyDescent="0.25">
      <c r="A71" t="s">
        <v>71</v>
      </c>
      <c r="B71">
        <v>0</v>
      </c>
      <c r="C71">
        <v>1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1</v>
      </c>
      <c r="K71" s="3">
        <v>0.56900001</v>
      </c>
      <c r="L71" s="3">
        <v>5.7999997999999997E-2</v>
      </c>
      <c r="M71">
        <v>34.578991000000002</v>
      </c>
      <c r="N71" s="3">
        <f t="shared" si="1"/>
        <v>0.34578991000000003</v>
      </c>
    </row>
    <row r="72" spans="1:14" x14ac:dyDescent="0.25">
      <c r="A72" t="s">
        <v>72</v>
      </c>
      <c r="B72">
        <v>0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 s="3">
        <v>0.96499997000000004</v>
      </c>
      <c r="L72" s="3">
        <v>0.76700002</v>
      </c>
      <c r="M72">
        <v>33.437550000000002</v>
      </c>
      <c r="N72" s="3">
        <f t="shared" si="1"/>
        <v>0.33437549999999999</v>
      </c>
    </row>
    <row r="73" spans="1:14" x14ac:dyDescent="0.25">
      <c r="A73" t="s">
        <v>73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 s="3">
        <v>0.41800000999999998</v>
      </c>
      <c r="L73" s="3">
        <v>0.32499999000000002</v>
      </c>
      <c r="M73">
        <v>32.230995</v>
      </c>
      <c r="N73" s="3">
        <f t="shared" si="1"/>
        <v>0.32230995000000001</v>
      </c>
    </row>
    <row r="74" spans="1:14" x14ac:dyDescent="0.25">
      <c r="A74" t="s">
        <v>74</v>
      </c>
      <c r="B74">
        <v>0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 s="3">
        <v>0.16200000000000001</v>
      </c>
      <c r="L74" s="3">
        <v>0.11600000000000001</v>
      </c>
      <c r="M74">
        <v>27.303864999999998</v>
      </c>
      <c r="N74" s="3">
        <f t="shared" si="1"/>
        <v>0.27303864999999999</v>
      </c>
    </row>
    <row r="75" spans="1:14" x14ac:dyDescent="0.25">
      <c r="A75" t="s">
        <v>75</v>
      </c>
      <c r="B75">
        <v>0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 s="3">
        <v>0.60399997000000005</v>
      </c>
      <c r="L75" s="3">
        <v>0.755</v>
      </c>
      <c r="M75">
        <v>54.861111000000001</v>
      </c>
      <c r="N75" s="3">
        <f t="shared" si="1"/>
        <v>0.54861110999999996</v>
      </c>
    </row>
    <row r="76" spans="1:14" x14ac:dyDescent="0.25">
      <c r="A76" t="s">
        <v>76</v>
      </c>
      <c r="B76">
        <v>1</v>
      </c>
      <c r="C76">
        <v>1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 s="3">
        <v>0.60399997000000005</v>
      </c>
      <c r="L76" s="3">
        <v>0.32499999000000002</v>
      </c>
      <c r="M76">
        <v>48.982650999999997</v>
      </c>
      <c r="N76" s="3">
        <f t="shared" si="1"/>
        <v>0.48982650999999999</v>
      </c>
    </row>
    <row r="77" spans="1:14" x14ac:dyDescent="0.25">
      <c r="A77" t="s">
        <v>77</v>
      </c>
      <c r="B77">
        <v>1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 s="3">
        <v>0.31299999000000001</v>
      </c>
      <c r="L77" s="3">
        <v>0.51099998000000002</v>
      </c>
      <c r="M77">
        <v>43.068897</v>
      </c>
      <c r="N77" s="3">
        <f t="shared" si="1"/>
        <v>0.43068897</v>
      </c>
    </row>
    <row r="78" spans="1:14" x14ac:dyDescent="0.25">
      <c r="A78" t="s">
        <v>78</v>
      </c>
      <c r="B78">
        <v>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 s="3">
        <v>0.17399998999999999</v>
      </c>
      <c r="L78" s="3">
        <v>1.0999999999999999E-2</v>
      </c>
      <c r="M78">
        <v>45.736747999999999</v>
      </c>
      <c r="N78" s="3">
        <f t="shared" si="1"/>
        <v>0.45736747999999999</v>
      </c>
    </row>
    <row r="79" spans="1:14" x14ac:dyDescent="0.25">
      <c r="A79" t="s">
        <v>79</v>
      </c>
      <c r="B79">
        <v>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 s="3">
        <v>0.46500000000000002</v>
      </c>
      <c r="L79" s="3">
        <v>0.32499999000000002</v>
      </c>
      <c r="M79">
        <v>49.653503000000001</v>
      </c>
      <c r="N79" s="3">
        <f t="shared" si="1"/>
        <v>0.49653502999999999</v>
      </c>
    </row>
    <row r="80" spans="1:14" x14ac:dyDescent="0.25">
      <c r="A80" t="s">
        <v>80</v>
      </c>
      <c r="B80">
        <v>0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 s="3">
        <v>0.31299999000000001</v>
      </c>
      <c r="L80" s="3">
        <v>0.255</v>
      </c>
      <c r="M80">
        <v>47.173228999999999</v>
      </c>
      <c r="N80" s="3">
        <f t="shared" si="1"/>
        <v>0.47173229</v>
      </c>
    </row>
    <row r="81" spans="1:14" x14ac:dyDescent="0.25">
      <c r="A81" t="s">
        <v>81</v>
      </c>
      <c r="B81">
        <v>1</v>
      </c>
      <c r="C81">
        <v>0</v>
      </c>
      <c r="D81">
        <v>1</v>
      </c>
      <c r="E81">
        <v>0</v>
      </c>
      <c r="F81">
        <v>0</v>
      </c>
      <c r="G81">
        <v>1</v>
      </c>
      <c r="H81">
        <v>0</v>
      </c>
      <c r="I81">
        <v>1</v>
      </c>
      <c r="J81">
        <v>0</v>
      </c>
      <c r="K81" s="3">
        <v>0.54600000000000004</v>
      </c>
      <c r="L81" s="3">
        <v>0.90600002000000002</v>
      </c>
      <c r="M81">
        <v>81.642914000000005</v>
      </c>
      <c r="N81" s="3">
        <f t="shared" si="1"/>
        <v>0.81642914</v>
      </c>
    </row>
    <row r="82" spans="1:14" x14ac:dyDescent="0.25">
      <c r="A82" t="s">
        <v>82</v>
      </c>
      <c r="B82">
        <v>0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 s="3">
        <v>0.22</v>
      </c>
      <c r="L82" s="3">
        <v>0.11600000000000001</v>
      </c>
      <c r="M82">
        <v>45.466282</v>
      </c>
      <c r="N82" s="3">
        <f t="shared" si="1"/>
        <v>0.45466282000000002</v>
      </c>
    </row>
    <row r="83" spans="1:14" x14ac:dyDescent="0.25">
      <c r="A83" t="s">
        <v>83</v>
      </c>
      <c r="B83">
        <v>0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 s="3">
        <v>9.3000001999999998E-2</v>
      </c>
      <c r="L83" s="3">
        <v>0.11600000000000001</v>
      </c>
      <c r="M83">
        <v>39.011898000000002</v>
      </c>
      <c r="N83" s="3">
        <f t="shared" si="1"/>
        <v>0.39011898</v>
      </c>
    </row>
    <row r="84" spans="1:14" x14ac:dyDescent="0.25">
      <c r="A84" t="s">
        <v>95</v>
      </c>
      <c r="B84">
        <v>0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 s="3">
        <v>0.31299999000000001</v>
      </c>
      <c r="L84" s="3">
        <v>0.31299999000000001</v>
      </c>
      <c r="M84">
        <v>44.375518999999997</v>
      </c>
      <c r="N84" s="3">
        <f t="shared" si="1"/>
        <v>0.44375518999999997</v>
      </c>
    </row>
    <row r="85" spans="1:14" x14ac:dyDescent="0.25">
      <c r="A85" t="s">
        <v>96</v>
      </c>
      <c r="B85">
        <v>0</v>
      </c>
      <c r="C85">
        <v>0</v>
      </c>
      <c r="D85">
        <v>1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 s="3">
        <v>0.186</v>
      </c>
      <c r="L85" s="3">
        <v>0.26699999000000002</v>
      </c>
      <c r="M85">
        <v>41.904308</v>
      </c>
      <c r="N85" s="3">
        <f t="shared" si="1"/>
        <v>0.41904308000000001</v>
      </c>
    </row>
    <row r="86" spans="1:14" x14ac:dyDescent="0.25">
      <c r="A86" t="s">
        <v>84</v>
      </c>
      <c r="B86">
        <v>1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1</v>
      </c>
      <c r="K86" s="3">
        <v>0.87199998000000001</v>
      </c>
      <c r="L86" s="3">
        <v>0.84799999000000004</v>
      </c>
      <c r="M86">
        <v>49.524113</v>
      </c>
      <c r="N86" s="3">
        <f t="shared" si="1"/>
        <v>0.49524112999999997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B11" sqref="B11"/>
    </sheetView>
  </sheetViews>
  <sheetFormatPr defaultRowHeight="15" x14ac:dyDescent="0.25"/>
  <cols>
    <col min="1" max="1" width="25.140625" customWidth="1"/>
    <col min="2" max="2" width="10.28515625" bestFit="1" customWidth="1"/>
  </cols>
  <sheetData>
    <row r="2" spans="1:2" x14ac:dyDescent="0.25">
      <c r="A2" s="4" t="s">
        <v>160</v>
      </c>
      <c r="B2" s="4" t="s">
        <v>144</v>
      </c>
    </row>
    <row r="3" spans="1:2" x14ac:dyDescent="0.25">
      <c r="A3" s="11" t="s">
        <v>109</v>
      </c>
      <c r="B3">
        <f>SUM(Multiple_In_Package)</f>
        <v>44</v>
      </c>
    </row>
    <row r="4" spans="1:2" x14ac:dyDescent="0.25">
      <c r="A4" s="11" t="s">
        <v>103</v>
      </c>
      <c r="B4">
        <f>SUM(Fruity)</f>
        <v>38</v>
      </c>
    </row>
    <row r="5" spans="1:2" x14ac:dyDescent="0.25">
      <c r="A5" s="11" t="s">
        <v>102</v>
      </c>
      <c r="B5">
        <f>SUM(Chocolate)</f>
        <v>37</v>
      </c>
    </row>
    <row r="6" spans="1:2" x14ac:dyDescent="0.25">
      <c r="A6" s="11" t="s">
        <v>108</v>
      </c>
      <c r="B6">
        <f>SUM(Bar)</f>
        <v>21</v>
      </c>
    </row>
    <row r="7" spans="1:2" x14ac:dyDescent="0.25">
      <c r="A7" s="11" t="s">
        <v>107</v>
      </c>
      <c r="B7">
        <f>SUM(Hard)</f>
        <v>15</v>
      </c>
    </row>
    <row r="8" spans="1:2" x14ac:dyDescent="0.25">
      <c r="A8" s="11" t="s">
        <v>104</v>
      </c>
      <c r="B8">
        <f>SUM(Caramel)</f>
        <v>14</v>
      </c>
    </row>
    <row r="9" spans="1:2" x14ac:dyDescent="0.25">
      <c r="A9" s="11" t="s">
        <v>110</v>
      </c>
      <c r="B9">
        <f>SUM(Peanut_Almond)</f>
        <v>14</v>
      </c>
    </row>
    <row r="10" spans="1:2" x14ac:dyDescent="0.25">
      <c r="A10" s="11" t="s">
        <v>105</v>
      </c>
      <c r="B10">
        <f>SUM(Nougat)</f>
        <v>7</v>
      </c>
    </row>
    <row r="11" spans="1:2" x14ac:dyDescent="0.25">
      <c r="A11" s="11" t="s">
        <v>106</v>
      </c>
      <c r="B11">
        <f>SUM(Waifer)</f>
        <v>7</v>
      </c>
    </row>
  </sheetData>
  <sortState ref="A3:B11">
    <sortCondition descending="1" ref="B3:B1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opLeftCell="A10" workbookViewId="0">
      <selection activeCell="A27" sqref="A27"/>
    </sheetView>
  </sheetViews>
  <sheetFormatPr defaultRowHeight="15" x14ac:dyDescent="0.25"/>
  <cols>
    <col min="1" max="1" width="12.7109375" bestFit="1" customWidth="1"/>
    <col min="2" max="2" width="10.85546875" bestFit="1" customWidth="1"/>
  </cols>
  <sheetData>
    <row r="2" spans="1:2" x14ac:dyDescent="0.25">
      <c r="A2" s="4" t="s">
        <v>150</v>
      </c>
      <c r="B2">
        <f>COUNT(Win)</f>
        <v>85</v>
      </c>
    </row>
    <row r="4" spans="1:2" x14ac:dyDescent="0.25">
      <c r="A4" s="4" t="s">
        <v>146</v>
      </c>
      <c r="B4" s="2">
        <f>MIN(Win)</f>
        <v>0.22445340999999999</v>
      </c>
    </row>
    <row r="5" spans="1:2" x14ac:dyDescent="0.25">
      <c r="A5" s="4" t="s">
        <v>145</v>
      </c>
      <c r="B5" s="2">
        <f>_xlfn.QUARTILE.EXC(Win,1)</f>
        <v>0.39076476999999998</v>
      </c>
    </row>
    <row r="6" spans="1:2" x14ac:dyDescent="0.25">
      <c r="A6" s="4" t="s">
        <v>147</v>
      </c>
      <c r="B6" s="2">
        <f>_xlfn.QUARTILE.EXC(Win,2)</f>
        <v>0.47829754000000002</v>
      </c>
    </row>
    <row r="7" spans="1:2" x14ac:dyDescent="0.25">
      <c r="A7" s="4" t="s">
        <v>148</v>
      </c>
      <c r="B7" s="2">
        <f>_xlfn.QUARTILE.EXC(Win,3)</f>
        <v>0.60332349500000004</v>
      </c>
    </row>
    <row r="8" spans="1:2" x14ac:dyDescent="0.25">
      <c r="A8" s="4" t="s">
        <v>149</v>
      </c>
      <c r="B8" s="2">
        <f>MAX(Win)</f>
        <v>0.84180290000000002</v>
      </c>
    </row>
    <row r="9" spans="1:2" x14ac:dyDescent="0.25">
      <c r="A9" s="4"/>
      <c r="B9" s="2"/>
    </row>
    <row r="10" spans="1:2" x14ac:dyDescent="0.25">
      <c r="A10" s="4" t="s">
        <v>156</v>
      </c>
      <c r="B10" s="2">
        <f>AVERAGE(Win)</f>
        <v>0.50316763811764686</v>
      </c>
    </row>
    <row r="11" spans="1:2" x14ac:dyDescent="0.25">
      <c r="A11" s="4" t="s">
        <v>157</v>
      </c>
      <c r="B11" s="1">
        <f>_xlfn.STDEV.S(Win)</f>
        <v>0.1471435741340788</v>
      </c>
    </row>
    <row r="12" spans="1:2" x14ac:dyDescent="0.25">
      <c r="A12" s="4" t="s">
        <v>151</v>
      </c>
      <c r="B12" s="12">
        <f>B8-B4</f>
        <v>0.61734949000000006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abSelected="1" workbookViewId="0">
      <selection activeCell="B8" sqref="B8"/>
    </sheetView>
  </sheetViews>
  <sheetFormatPr defaultRowHeight="15" x14ac:dyDescent="0.25"/>
  <cols>
    <col min="1" max="1" width="27.85546875" bestFit="1" customWidth="1"/>
    <col min="2" max="2" width="12" customWidth="1"/>
    <col min="3" max="3" width="10.7109375" bestFit="1" customWidth="1"/>
    <col min="4" max="4" width="12.85546875" bestFit="1" customWidth="1"/>
    <col min="5" max="5" width="14.28515625" customWidth="1"/>
    <col min="6" max="6" width="12" bestFit="1" customWidth="1"/>
    <col min="7" max="7" width="11.7109375" bestFit="1" customWidth="1"/>
    <col min="8" max="8" width="9.7109375" bestFit="1" customWidth="1"/>
    <col min="9" max="9" width="8.42578125" bestFit="1" customWidth="1"/>
    <col min="10" max="11" width="9.5703125" customWidth="1"/>
    <col min="12" max="13" width="14.7109375" style="3" customWidth="1"/>
    <col min="14" max="14" width="14" style="3" customWidth="1"/>
    <col min="15" max="15" width="14.85546875" style="3" bestFit="1" customWidth="1"/>
    <col min="16" max="16" width="2.28515625" hidden="1" customWidth="1"/>
    <col min="17" max="17" width="11.42578125" style="3" customWidth="1"/>
  </cols>
  <sheetData>
    <row r="1" spans="1:23" ht="32.25" customHeight="1" x14ac:dyDescent="0.25">
      <c r="A1" s="5" t="s">
        <v>101</v>
      </c>
      <c r="B1" s="5" t="s">
        <v>102</v>
      </c>
      <c r="C1" s="5" t="s">
        <v>103</v>
      </c>
      <c r="D1" s="5" t="s">
        <v>104</v>
      </c>
      <c r="E1" s="5" t="s">
        <v>110</v>
      </c>
      <c r="F1" s="5" t="s">
        <v>105</v>
      </c>
      <c r="G1" s="5" t="s">
        <v>106</v>
      </c>
      <c r="H1" s="5" t="s">
        <v>107</v>
      </c>
      <c r="I1" s="5" t="s">
        <v>108</v>
      </c>
      <c r="J1" s="5" t="s">
        <v>109</v>
      </c>
      <c r="K1" s="5" t="s">
        <v>164</v>
      </c>
      <c r="L1" s="6" t="s">
        <v>152</v>
      </c>
      <c r="M1" s="6" t="s">
        <v>170</v>
      </c>
      <c r="N1" s="6" t="s">
        <v>153</v>
      </c>
      <c r="O1" s="6" t="s">
        <v>169</v>
      </c>
      <c r="P1" s="5" t="s">
        <v>98</v>
      </c>
      <c r="Q1" s="6" t="s">
        <v>97</v>
      </c>
      <c r="R1" s="6" t="s">
        <v>163</v>
      </c>
    </row>
    <row r="2" spans="1:23" x14ac:dyDescent="0.25">
      <c r="A2" t="s">
        <v>62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 s="13">
        <v>1</v>
      </c>
      <c r="K2" s="13">
        <f>SUM(B2:J2)</f>
        <v>2</v>
      </c>
      <c r="L2" s="3">
        <v>0.94099997999999996</v>
      </c>
      <c r="M2" s="3" t="str">
        <f>VLOOKUP(TableExploration[[#This Row],[Sugar Percentile]],$V$10:$W$13,2)</f>
        <v>High</v>
      </c>
      <c r="N2" s="3">
        <v>0.22</v>
      </c>
      <c r="O2" s="3" t="str">
        <f>VLOOKUP(TableExploration[[#This Row],[Price Percentile]],$V$5:$W$7,2)</f>
        <v>Cheap</v>
      </c>
      <c r="P2">
        <v>63.085140000000003</v>
      </c>
      <c r="Q2" s="3">
        <f>P2/100</f>
        <v>0.63085140000000006</v>
      </c>
      <c r="R2" s="14">
        <f>_xlfn.RANK.EQ(TableExploration[[#This Row],[Win Percent]],Win,0)</f>
        <v>19</v>
      </c>
    </row>
    <row r="3" spans="1:23" x14ac:dyDescent="0.25">
      <c r="A3" t="s">
        <v>63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13">
        <v>1</v>
      </c>
      <c r="K3" s="13">
        <f>SUM(B3:J3)</f>
        <v>2</v>
      </c>
      <c r="L3" s="3">
        <v>0.94099997999999996</v>
      </c>
      <c r="M3" s="3" t="str">
        <f>VLOOKUP(TableExploration[[#This Row],[Sugar Percentile]],$V$10:$W$13,2)</f>
        <v>High</v>
      </c>
      <c r="N3" s="3">
        <v>0.22</v>
      </c>
      <c r="O3" s="3" t="str">
        <f>VLOOKUP(TableExploration[[#This Row],[Price Percentile]],$V$5:$W$7,2)</f>
        <v>Cheap</v>
      </c>
      <c r="P3">
        <v>55.103695000000002</v>
      </c>
      <c r="Q3" s="3">
        <f>P3/100</f>
        <v>0.55103694999999997</v>
      </c>
      <c r="R3" s="14">
        <f>_xlfn.RANK.EQ(TableExploration[[#This Row],[Win Percent]],Win,0)</f>
        <v>31</v>
      </c>
    </row>
    <row r="4" spans="1:23" ht="15.75" thickBot="1" x14ac:dyDescent="0.3">
      <c r="A4" t="s">
        <v>60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 s="13">
        <v>1</v>
      </c>
      <c r="K4" s="13">
        <f>SUM(B4:J4)</f>
        <v>3</v>
      </c>
      <c r="L4" s="3">
        <v>0.87199998000000001</v>
      </c>
      <c r="M4" s="3" t="str">
        <f>VLOOKUP(TableExploration[[#This Row],[Sugar Percentile]],$V$10:$W$13,2)</f>
        <v>High</v>
      </c>
      <c r="N4" s="3">
        <v>0.27900001000000002</v>
      </c>
      <c r="O4" s="3" t="str">
        <f>VLOOKUP(TableExploration[[#This Row],[Price Percentile]],$V$5:$W$7,2)</f>
        <v>Cheap</v>
      </c>
      <c r="P4">
        <v>42.849144000000003</v>
      </c>
      <c r="Q4" s="3">
        <f>P4/100</f>
        <v>0.42849144</v>
      </c>
      <c r="R4" s="14">
        <f>_xlfn.RANK.EQ(TableExploration[[#This Row],[Win Percent]],Win,0)</f>
        <v>55</v>
      </c>
      <c r="V4" s="15" t="s">
        <v>167</v>
      </c>
      <c r="W4" s="15" t="s">
        <v>168</v>
      </c>
    </row>
    <row r="5" spans="1:23" ht="15.75" thickTop="1" x14ac:dyDescent="0.25">
      <c r="A5" t="s">
        <v>47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 s="13">
        <v>1</v>
      </c>
      <c r="K5" s="13">
        <f>SUM(B5:J5)</f>
        <v>3</v>
      </c>
      <c r="L5" s="3">
        <v>0.84799999000000004</v>
      </c>
      <c r="M5" s="3" t="str">
        <f>VLOOKUP(TableExploration[[#This Row],[Sugar Percentile]],$V$10:$W$13,2)</f>
        <v>High</v>
      </c>
      <c r="N5" s="3">
        <v>0.32499999000000002</v>
      </c>
      <c r="O5" s="3" t="str">
        <f>VLOOKUP(TableExploration[[#This Row],[Price Percentile]],$V$5:$W$7,2)</f>
        <v>Cheap</v>
      </c>
      <c r="P5">
        <v>55.354045999999997</v>
      </c>
      <c r="Q5" s="3">
        <f>P5/100</f>
        <v>0.55354046000000001</v>
      </c>
      <c r="R5" s="14">
        <f>_xlfn.RANK.EQ(TableExploration[[#This Row],[Win Percent]],Win,0)</f>
        <v>30</v>
      </c>
      <c r="V5">
        <v>0</v>
      </c>
      <c r="W5" t="s">
        <v>165</v>
      </c>
    </row>
    <row r="6" spans="1:23" x14ac:dyDescent="0.25">
      <c r="A6" t="s">
        <v>40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 s="13">
        <v>1</v>
      </c>
      <c r="K6" s="13">
        <f>SUM(B6:J6)</f>
        <v>2</v>
      </c>
      <c r="L6" s="3">
        <v>0.87199998000000001</v>
      </c>
      <c r="M6" s="3" t="str">
        <f>VLOOKUP(TableExploration[[#This Row],[Sugar Percentile]],$V$10:$W$13,2)</f>
        <v>High</v>
      </c>
      <c r="N6" s="3">
        <v>0.32499999000000002</v>
      </c>
      <c r="O6" s="3" t="str">
        <f>VLOOKUP(TableExploration[[#This Row],[Price Percentile]],$V$5:$W$7,2)</f>
        <v>Cheap</v>
      </c>
      <c r="P6">
        <v>46.411715999999998</v>
      </c>
      <c r="Q6" s="3">
        <f>P6/100</f>
        <v>0.46411715999999997</v>
      </c>
      <c r="R6" s="14">
        <f>_xlfn.RANK.EQ(TableExploration[[#This Row],[Win Percent]],Win,0)</f>
        <v>46</v>
      </c>
      <c r="V6">
        <v>0.33</v>
      </c>
      <c r="W6" t="s">
        <v>156</v>
      </c>
    </row>
    <row r="7" spans="1:23" x14ac:dyDescent="0.25">
      <c r="A7" t="s">
        <v>20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 s="13">
        <v>1</v>
      </c>
      <c r="K7" s="13">
        <f>SUM(B7:J7)</f>
        <v>1</v>
      </c>
      <c r="L7" s="3">
        <v>0.90600002000000002</v>
      </c>
      <c r="M7" s="3" t="str">
        <f>VLOOKUP(TableExploration[[#This Row],[Sugar Percentile]],$V$10:$W$13,2)</f>
        <v>High</v>
      </c>
      <c r="N7" s="3">
        <v>0.32499999000000002</v>
      </c>
      <c r="O7" s="3" t="str">
        <f>VLOOKUP(TableExploration[[#This Row],[Price Percentile]],$V$5:$W$7,2)</f>
        <v>Cheap</v>
      </c>
      <c r="P7">
        <v>38.010962999999997</v>
      </c>
      <c r="Q7" s="3">
        <f>P7/100</f>
        <v>0.38010962999999998</v>
      </c>
      <c r="R7" s="14">
        <f>_xlfn.RANK.EQ(TableExploration[[#This Row],[Win Percent]],Win,0)</f>
        <v>67</v>
      </c>
      <c r="V7">
        <v>0.66</v>
      </c>
      <c r="W7" t="s">
        <v>166</v>
      </c>
    </row>
    <row r="8" spans="1:23" x14ac:dyDescent="0.25">
      <c r="A8" t="s">
        <v>78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13">
        <v>1</v>
      </c>
      <c r="K8" s="13">
        <f>SUM(B8:J8)</f>
        <v>2</v>
      </c>
      <c r="L8" s="3">
        <v>0.17399998999999999</v>
      </c>
      <c r="M8" s="3" t="str">
        <f>VLOOKUP(TableExploration[[#This Row],[Sugar Percentile]],$V$10:$W$13,2)</f>
        <v>Low</v>
      </c>
      <c r="N8" s="3">
        <v>1.0999999999999999E-2</v>
      </c>
      <c r="O8" s="3" t="str">
        <f>VLOOKUP(TableExploration[[#This Row],[Price Percentile]],$V$5:$W$7,2)</f>
        <v>Cheap</v>
      </c>
      <c r="P8">
        <v>45.736747999999999</v>
      </c>
      <c r="Q8" s="3">
        <f>P8/100</f>
        <v>0.45736747999999999</v>
      </c>
      <c r="R8" s="14">
        <f>_xlfn.RANK.EQ(TableExploration[[#This Row],[Win Percent]],Win,0)</f>
        <v>50</v>
      </c>
    </row>
    <row r="9" spans="1:23" x14ac:dyDescent="0.25">
      <c r="A9" t="s">
        <v>54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13">
        <v>1</v>
      </c>
      <c r="K9" s="13">
        <f>SUM(B9:J9)</f>
        <v>1</v>
      </c>
      <c r="L9" s="3">
        <v>9.3000001999999998E-2</v>
      </c>
      <c r="M9" s="3" t="str">
        <f>VLOOKUP(TableExploration[[#This Row],[Sugar Percentile]],$V$10:$W$13,2)</f>
        <v>Low</v>
      </c>
      <c r="N9" s="3">
        <v>2.3E-2</v>
      </c>
      <c r="O9" s="3" t="str">
        <f>VLOOKUP(TableExploration[[#This Row],[Price Percentile]],$V$5:$W$7,2)</f>
        <v>Cheap</v>
      </c>
      <c r="P9">
        <v>37.722335999999999</v>
      </c>
      <c r="Q9" s="3">
        <f>P9/100</f>
        <v>0.37722336000000001</v>
      </c>
      <c r="R9" s="14">
        <f>_xlfn.RANK.EQ(TableExploration[[#This Row],[Win Percent]],Win,0)</f>
        <v>69</v>
      </c>
    </row>
    <row r="10" spans="1:23" x14ac:dyDescent="0.25">
      <c r="A10" t="s">
        <v>27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13">
        <v>1</v>
      </c>
      <c r="K10" s="13">
        <f>SUM(B10:J10)</f>
        <v>2</v>
      </c>
      <c r="L10" s="3">
        <v>0.127</v>
      </c>
      <c r="M10" s="3" t="str">
        <f>VLOOKUP(TableExploration[[#This Row],[Sugar Percentile]],$V$10:$W$13,2)</f>
        <v>Low</v>
      </c>
      <c r="N10" s="3">
        <v>3.4000002000000001E-2</v>
      </c>
      <c r="O10" s="3" t="str">
        <f>VLOOKUP(TableExploration[[#This Row],[Price Percentile]],$V$5:$W$7,2)</f>
        <v>Cheap</v>
      </c>
      <c r="P10">
        <v>43.088923999999999</v>
      </c>
      <c r="Q10" s="3">
        <f>P10/100</f>
        <v>0.43088924000000001</v>
      </c>
      <c r="R10" s="14">
        <f>_xlfn.RANK.EQ(TableExploration[[#This Row],[Win Percent]],Win,0)</f>
        <v>53</v>
      </c>
      <c r="V10">
        <v>0</v>
      </c>
      <c r="W10" t="s">
        <v>171</v>
      </c>
    </row>
    <row r="11" spans="1:23" x14ac:dyDescent="0.25">
      <c r="A11" t="s">
        <v>61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13">
        <v>1</v>
      </c>
      <c r="K11" s="13">
        <f>SUM(B11:J11)</f>
        <v>2</v>
      </c>
      <c r="L11" s="3">
        <v>0.22</v>
      </c>
      <c r="M11" s="3" t="str">
        <f>VLOOKUP(TableExploration[[#This Row],[Sugar Percentile]],$V$10:$W$13,2)</f>
        <v>Low</v>
      </c>
      <c r="N11" s="3">
        <v>8.1000000000000003E-2</v>
      </c>
      <c r="O11" s="3" t="str">
        <f>VLOOKUP(TableExploration[[#This Row],[Price Percentile]],$V$5:$W$7,2)</f>
        <v>Cheap</v>
      </c>
      <c r="P11">
        <v>34.722000000000001</v>
      </c>
      <c r="Q11" s="3">
        <f>P11/100</f>
        <v>0.34722000000000003</v>
      </c>
      <c r="R11" s="14">
        <f>_xlfn.RANK.EQ(TableExploration[[#This Row],[Win Percent]],Win,0)</f>
        <v>73</v>
      </c>
      <c r="V11">
        <v>0.25</v>
      </c>
      <c r="W11" t="s">
        <v>172</v>
      </c>
    </row>
    <row r="12" spans="1:23" x14ac:dyDescent="0.25">
      <c r="A12" t="s">
        <v>85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13">
        <v>1</v>
      </c>
      <c r="K12" s="13">
        <f>SUM(B12:J12)</f>
        <v>2</v>
      </c>
      <c r="L12" s="3">
        <v>0.127</v>
      </c>
      <c r="M12" s="3" t="str">
        <f>VLOOKUP(TableExploration[[#This Row],[Sugar Percentile]],$V$10:$W$13,2)</f>
        <v>Low</v>
      </c>
      <c r="N12" s="3">
        <v>9.3000001999999998E-2</v>
      </c>
      <c r="O12" s="3" t="str">
        <f>VLOOKUP(TableExploration[[#This Row],[Price Percentile]],$V$5:$W$7,2)</f>
        <v>Cheap</v>
      </c>
      <c r="P12">
        <v>55.375453999999998</v>
      </c>
      <c r="Q12" s="3">
        <f>P12/100</f>
        <v>0.55375454000000002</v>
      </c>
      <c r="R12" s="14">
        <f>_xlfn.RANK.EQ(TableExploration[[#This Row],[Win Percent]],Win,0)</f>
        <v>29</v>
      </c>
      <c r="V12">
        <v>0.5</v>
      </c>
      <c r="W12" t="s">
        <v>173</v>
      </c>
    </row>
    <row r="13" spans="1:23" x14ac:dyDescent="0.25">
      <c r="A13" t="s">
        <v>38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 s="13">
        <v>0</v>
      </c>
      <c r="K13" s="13">
        <f>SUM(B13:J13)</f>
        <v>2</v>
      </c>
      <c r="L13" s="3">
        <v>4.5999999999999999E-2</v>
      </c>
      <c r="M13" s="3" t="str">
        <f>VLOOKUP(TableExploration[[#This Row],[Sugar Percentile]],$V$10:$W$13,2)</f>
        <v>Low</v>
      </c>
      <c r="N13" s="3">
        <v>0.104</v>
      </c>
      <c r="O13" s="3" t="str">
        <f>VLOOKUP(TableExploration[[#This Row],[Price Percentile]],$V$5:$W$7,2)</f>
        <v>Cheap</v>
      </c>
      <c r="P13">
        <v>39.141055999999999</v>
      </c>
      <c r="Q13" s="3">
        <f>P13/100</f>
        <v>0.39141055999999996</v>
      </c>
      <c r="R13" s="14">
        <f>_xlfn.RANK.EQ(TableExploration[[#This Row],[Win Percent]],Win,0)</f>
        <v>64</v>
      </c>
      <c r="V13">
        <v>0.75</v>
      </c>
      <c r="W13" t="s">
        <v>174</v>
      </c>
    </row>
    <row r="14" spans="1:23" x14ac:dyDescent="0.25">
      <c r="A14" t="s">
        <v>68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13">
        <v>1</v>
      </c>
      <c r="K14" s="13">
        <f>SUM(B14:J14)</f>
        <v>2</v>
      </c>
      <c r="L14" s="3">
        <v>6.8999998000000007E-2</v>
      </c>
      <c r="M14" s="3" t="str">
        <f>VLOOKUP(TableExploration[[#This Row],[Sugar Percentile]],$V$10:$W$13,2)</f>
        <v>Low</v>
      </c>
      <c r="N14" s="3">
        <v>0.11600000000000001</v>
      </c>
      <c r="O14" s="3" t="str">
        <f>VLOOKUP(TableExploration[[#This Row],[Price Percentile]],$V$5:$W$7,2)</f>
        <v>Cheap</v>
      </c>
      <c r="P14">
        <v>59.863998000000002</v>
      </c>
      <c r="Q14" s="3">
        <f>P14/100</f>
        <v>0.59863998000000007</v>
      </c>
      <c r="R14" s="14">
        <f>_xlfn.RANK.EQ(TableExploration[[#This Row],[Win Percent]],Win,0)</f>
        <v>22</v>
      </c>
    </row>
    <row r="15" spans="1:23" x14ac:dyDescent="0.25">
      <c r="A15" t="s">
        <v>69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13">
        <v>1</v>
      </c>
      <c r="K15" s="13">
        <f>SUM(B15:J15)</f>
        <v>2</v>
      </c>
      <c r="L15" s="3">
        <v>6.8999998000000007E-2</v>
      </c>
      <c r="M15" s="3" t="str">
        <f>VLOOKUP(TableExploration[[#This Row],[Sugar Percentile]],$V$10:$W$13,2)</f>
        <v>Low</v>
      </c>
      <c r="N15" s="3">
        <v>0.11600000000000001</v>
      </c>
      <c r="O15" s="3" t="str">
        <f>VLOOKUP(TableExploration[[#This Row],[Price Percentile]],$V$5:$W$7,2)</f>
        <v>Cheap</v>
      </c>
      <c r="P15">
        <v>52.825946999999999</v>
      </c>
      <c r="Q15" s="3">
        <f>P15/100</f>
        <v>0.52825946999999995</v>
      </c>
      <c r="R15" s="14">
        <f>_xlfn.RANK.EQ(TableExploration[[#This Row],[Win Percent]],Win,0)</f>
        <v>36</v>
      </c>
    </row>
    <row r="16" spans="1:23" x14ac:dyDescent="0.25">
      <c r="A16" t="s">
        <v>82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13">
        <v>0</v>
      </c>
      <c r="K16" s="13">
        <f>SUM(B16:J16)</f>
        <v>1</v>
      </c>
      <c r="L16" s="3">
        <v>0.22</v>
      </c>
      <c r="M16" s="3" t="str">
        <f>VLOOKUP(TableExploration[[#This Row],[Sugar Percentile]],$V$10:$W$13,2)</f>
        <v>Low</v>
      </c>
      <c r="N16" s="3">
        <v>0.11600000000000001</v>
      </c>
      <c r="O16" s="3" t="str">
        <f>VLOOKUP(TableExploration[[#This Row],[Price Percentile]],$V$5:$W$7,2)</f>
        <v>Cheap</v>
      </c>
      <c r="P16">
        <v>45.466282</v>
      </c>
      <c r="Q16" s="3">
        <f>P16/100</f>
        <v>0.45466282000000002</v>
      </c>
      <c r="R16" s="14">
        <f>_xlfn.RANK.EQ(TableExploration[[#This Row],[Win Percent]],Win,0)</f>
        <v>51</v>
      </c>
    </row>
    <row r="17" spans="1:18" x14ac:dyDescent="0.25">
      <c r="A17" t="s">
        <v>37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13">
        <v>0</v>
      </c>
      <c r="K17" s="13">
        <f>SUM(B17:J17)</f>
        <v>1</v>
      </c>
      <c r="L17" s="3">
        <v>0.22</v>
      </c>
      <c r="M17" s="3" t="str">
        <f>VLOOKUP(TableExploration[[#This Row],[Sugar Percentile]],$V$10:$W$13,2)</f>
        <v>Low</v>
      </c>
      <c r="N17" s="3">
        <v>0.11600000000000001</v>
      </c>
      <c r="O17" s="3" t="str">
        <f>VLOOKUP(TableExploration[[#This Row],[Price Percentile]],$V$5:$W$7,2)</f>
        <v>Cheap</v>
      </c>
      <c r="P17">
        <v>41.389557000000003</v>
      </c>
      <c r="Q17" s="3">
        <f>P17/100</f>
        <v>0.41389557000000005</v>
      </c>
      <c r="R17" s="14">
        <f>_xlfn.RANK.EQ(TableExploration[[#This Row],[Win Percent]],Win,0)</f>
        <v>59</v>
      </c>
    </row>
    <row r="18" spans="1:18" x14ac:dyDescent="0.25">
      <c r="A18" t="s">
        <v>83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 s="13">
        <v>0</v>
      </c>
      <c r="K18" s="13">
        <f>SUM(B18:J18)</f>
        <v>2</v>
      </c>
      <c r="L18" s="3">
        <v>9.3000001999999998E-2</v>
      </c>
      <c r="M18" s="3" t="str">
        <f>VLOOKUP(TableExploration[[#This Row],[Sugar Percentile]],$V$10:$W$13,2)</f>
        <v>Low</v>
      </c>
      <c r="N18" s="3">
        <v>0.11600000000000001</v>
      </c>
      <c r="O18" s="3" t="str">
        <f>VLOOKUP(TableExploration[[#This Row],[Price Percentile]],$V$5:$W$7,2)</f>
        <v>Cheap</v>
      </c>
      <c r="P18">
        <v>39.011898000000002</v>
      </c>
      <c r="Q18" s="3">
        <f>P18/100</f>
        <v>0.39011898</v>
      </c>
      <c r="R18" s="14">
        <f>_xlfn.RANK.EQ(TableExploration[[#This Row],[Win Percent]],Win,0)</f>
        <v>65</v>
      </c>
    </row>
    <row r="19" spans="1:18" x14ac:dyDescent="0.25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13">
        <v>0</v>
      </c>
      <c r="K19" s="13">
        <f>SUM(B19:J19)</f>
        <v>0</v>
      </c>
      <c r="L19" s="3">
        <v>1.0999999999999999E-2</v>
      </c>
      <c r="M19" s="3" t="str">
        <f>VLOOKUP(TableExploration[[#This Row],[Sugar Percentile]],$V$10:$W$13,2)</f>
        <v>Low</v>
      </c>
      <c r="N19" s="3">
        <v>0.11600000000000001</v>
      </c>
      <c r="O19" s="3" t="str">
        <f>VLOOKUP(TableExploration[[#This Row],[Price Percentile]],$V$5:$W$7,2)</f>
        <v>Cheap</v>
      </c>
      <c r="P19">
        <v>32.261085999999999</v>
      </c>
      <c r="Q19" s="3">
        <f>P19/100</f>
        <v>0.32261086</v>
      </c>
      <c r="R19" s="14">
        <f>_xlfn.RANK.EQ(TableExploration[[#This Row],[Win Percent]],Win,0)</f>
        <v>78</v>
      </c>
    </row>
    <row r="20" spans="1:18" x14ac:dyDescent="0.25">
      <c r="A20" t="s">
        <v>74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13">
        <v>0</v>
      </c>
      <c r="K20" s="13">
        <f>SUM(B20:J20)</f>
        <v>1</v>
      </c>
      <c r="L20" s="3">
        <v>0.16200000000000001</v>
      </c>
      <c r="M20" s="3" t="str">
        <f>VLOOKUP(TableExploration[[#This Row],[Sugar Percentile]],$V$10:$W$13,2)</f>
        <v>Low</v>
      </c>
      <c r="N20" s="3">
        <v>0.11600000000000001</v>
      </c>
      <c r="O20" s="3" t="str">
        <f>VLOOKUP(TableExploration[[#This Row],[Price Percentile]],$V$5:$W$7,2)</f>
        <v>Cheap</v>
      </c>
      <c r="P20">
        <v>27.303864999999998</v>
      </c>
      <c r="Q20" s="3">
        <f>P20/100</f>
        <v>0.27303864999999999</v>
      </c>
      <c r="R20" s="14">
        <f>_xlfn.RANK.EQ(TableExploration[[#This Row],[Win Percent]],Win,0)</f>
        <v>82</v>
      </c>
    </row>
    <row r="21" spans="1:18" x14ac:dyDescent="0.25">
      <c r="A21" t="s">
        <v>70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13">
        <v>1</v>
      </c>
      <c r="K21" s="13">
        <f>SUM(B21:J21)</f>
        <v>2</v>
      </c>
      <c r="L21" s="3">
        <v>0.15099999</v>
      </c>
      <c r="M21" s="3" t="str">
        <f>VLOOKUP(TableExploration[[#This Row],[Sugar Percentile]],$V$10:$W$13,2)</f>
        <v>Low</v>
      </c>
      <c r="N21" s="3">
        <v>0.22</v>
      </c>
      <c r="O21" s="3" t="str">
        <f>VLOOKUP(TableExploration[[#This Row],[Price Percentile]],$V$5:$W$7,2)</f>
        <v>Cheap</v>
      </c>
      <c r="P21">
        <v>67.037627999999998</v>
      </c>
      <c r="Q21" s="3">
        <f>P21/100</f>
        <v>0.67037627999999994</v>
      </c>
      <c r="R21" s="14">
        <f>_xlfn.RANK.EQ(TableExploration[[#This Row],[Win Percent]],Win,0)</f>
        <v>13</v>
      </c>
    </row>
    <row r="22" spans="1:18" x14ac:dyDescent="0.25">
      <c r="A22" t="s">
        <v>96</v>
      </c>
      <c r="B22">
        <v>0</v>
      </c>
      <c r="C22">
        <v>0</v>
      </c>
      <c r="D22">
        <v>1</v>
      </c>
      <c r="E22">
        <v>0</v>
      </c>
      <c r="F22">
        <v>0</v>
      </c>
      <c r="G22">
        <v>0</v>
      </c>
      <c r="H22">
        <v>1</v>
      </c>
      <c r="I22">
        <v>0</v>
      </c>
      <c r="J22" s="13">
        <v>0</v>
      </c>
      <c r="K22" s="13">
        <f>SUM(B22:J22)</f>
        <v>2</v>
      </c>
      <c r="L22" s="3">
        <v>0.186</v>
      </c>
      <c r="M22" s="3" t="str">
        <f>VLOOKUP(TableExploration[[#This Row],[Sugar Percentile]],$V$10:$W$13,2)</f>
        <v>Low</v>
      </c>
      <c r="N22" s="3">
        <v>0.26699999000000002</v>
      </c>
      <c r="O22" s="3" t="str">
        <f>VLOOKUP(TableExploration[[#This Row],[Price Percentile]],$V$5:$W$7,2)</f>
        <v>Cheap</v>
      </c>
      <c r="P22">
        <v>41.904308</v>
      </c>
      <c r="Q22" s="3">
        <f>P22/100</f>
        <v>0.41904308000000001</v>
      </c>
      <c r="R22" s="14">
        <f>_xlfn.RANK.EQ(TableExploration[[#This Row],[Win Percent]],Win,0)</f>
        <v>58</v>
      </c>
    </row>
    <row r="23" spans="1:18" x14ac:dyDescent="0.25">
      <c r="A23" t="s">
        <v>91</v>
      </c>
      <c r="B23">
        <v>1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 s="13">
        <v>0</v>
      </c>
      <c r="K23" s="13">
        <f>SUM(B23:J23)</f>
        <v>2</v>
      </c>
      <c r="L23" s="3">
        <v>3.4000002000000001E-2</v>
      </c>
      <c r="M23" s="3" t="str">
        <f>VLOOKUP(TableExploration[[#This Row],[Sugar Percentile]],$V$10:$W$13,2)</f>
        <v>Low</v>
      </c>
      <c r="N23" s="3">
        <v>0.27900001000000002</v>
      </c>
      <c r="O23" s="3" t="str">
        <f>VLOOKUP(TableExploration[[#This Row],[Price Percentile]],$V$5:$W$7,2)</f>
        <v>Cheap</v>
      </c>
      <c r="P23">
        <v>81.866257000000004</v>
      </c>
      <c r="Q23" s="3">
        <f>P23/100</f>
        <v>0.81866257000000009</v>
      </c>
      <c r="R23" s="14">
        <f>_xlfn.RANK.EQ(TableExploration[[#This Row],[Win Percent]],Win,0)</f>
        <v>2</v>
      </c>
    </row>
    <row r="24" spans="1:18" x14ac:dyDescent="0.25">
      <c r="A24" t="s">
        <v>51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13">
        <v>1</v>
      </c>
      <c r="K24" s="13">
        <f>SUM(B24:J24)</f>
        <v>2</v>
      </c>
      <c r="L24" s="3">
        <v>0.22</v>
      </c>
      <c r="M24" s="3" t="str">
        <f>VLOOKUP(TableExploration[[#This Row],[Sugar Percentile]],$V$10:$W$13,2)</f>
        <v>Low</v>
      </c>
      <c r="N24" s="3">
        <v>0.32499999000000002</v>
      </c>
      <c r="O24" s="3" t="str">
        <f>VLOOKUP(TableExploration[[#This Row],[Price Percentile]],$V$5:$W$7,2)</f>
        <v>Cheap</v>
      </c>
      <c r="P24">
        <v>39.446800000000003</v>
      </c>
      <c r="Q24" s="3">
        <f>P24/100</f>
        <v>0.39446800000000004</v>
      </c>
      <c r="R24" s="14">
        <f>_xlfn.RANK.EQ(TableExploration[[#This Row],[Win Percent]],Win,0)</f>
        <v>62</v>
      </c>
    </row>
    <row r="25" spans="1:18" x14ac:dyDescent="0.25">
      <c r="A25" t="s">
        <v>24</v>
      </c>
      <c r="B25">
        <v>0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 s="13">
        <v>1</v>
      </c>
      <c r="K25" s="13">
        <f>SUM(B25:J25)</f>
        <v>2</v>
      </c>
      <c r="L25" s="3">
        <v>4.5999999999999999E-2</v>
      </c>
      <c r="M25" s="3" t="str">
        <f>VLOOKUP(TableExploration[[#This Row],[Sugar Percentile]],$V$10:$W$13,2)</f>
        <v>Low</v>
      </c>
      <c r="N25" s="3">
        <v>0.32499999000000002</v>
      </c>
      <c r="O25" s="3" t="str">
        <f>VLOOKUP(TableExploration[[#This Row],[Price Percentile]],$V$5:$W$7,2)</f>
        <v>Cheap</v>
      </c>
      <c r="P25">
        <v>24.524988</v>
      </c>
      <c r="Q25" s="3">
        <f>P25/100</f>
        <v>0.24524988</v>
      </c>
      <c r="R25" s="14">
        <f>_xlfn.RANK.EQ(TableExploration[[#This Row],[Win Percent]],Win,0)</f>
        <v>83</v>
      </c>
    </row>
    <row r="26" spans="1:18" x14ac:dyDescent="0.25">
      <c r="A26" t="s">
        <v>65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  <c r="J26" s="13">
        <v>1</v>
      </c>
      <c r="K26" s="13">
        <f>SUM(B26:J26)</f>
        <v>3</v>
      </c>
      <c r="L26" s="3">
        <v>0.26699999000000002</v>
      </c>
      <c r="M26" s="3" t="str">
        <f>VLOOKUP(TableExploration[[#This Row],[Sugar Percentile]],$V$10:$W$13,2)</f>
        <v>Low-Mid</v>
      </c>
      <c r="N26" s="3">
        <v>0.11600000000000001</v>
      </c>
      <c r="O26" s="3" t="str">
        <f>VLOOKUP(TableExploration[[#This Row],[Price Percentile]],$V$5:$W$7,2)</f>
        <v>Cheap</v>
      </c>
      <c r="P26">
        <v>45.995826999999998</v>
      </c>
      <c r="Q26" s="3">
        <f>P26/100</f>
        <v>0.45995827</v>
      </c>
      <c r="R26" s="14">
        <f>_xlfn.RANK.EQ(TableExploration[[#This Row],[Win Percent]],Win,0)</f>
        <v>49</v>
      </c>
    </row>
    <row r="27" spans="1:18" x14ac:dyDescent="0.25">
      <c r="A27" t="s">
        <v>80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13">
        <v>1</v>
      </c>
      <c r="K27" s="13">
        <f>SUM(B27:J27)</f>
        <v>2</v>
      </c>
      <c r="L27" s="3">
        <v>0.31299999000000001</v>
      </c>
      <c r="M27" s="3" t="str">
        <f>VLOOKUP(TableExploration[[#This Row],[Sugar Percentile]],$V$10:$W$13,2)</f>
        <v>Low-Mid</v>
      </c>
      <c r="N27" s="3">
        <v>0.255</v>
      </c>
      <c r="O27" s="3" t="str">
        <f>VLOOKUP(TableExploration[[#This Row],[Price Percentile]],$V$5:$W$7,2)</f>
        <v>Cheap</v>
      </c>
      <c r="P27">
        <v>47.173228999999999</v>
      </c>
      <c r="Q27" s="3">
        <f>P27/100</f>
        <v>0.47173229</v>
      </c>
      <c r="R27" s="14">
        <f>_xlfn.RANK.EQ(TableExploration[[#This Row],[Win Percent]],Win,0)</f>
        <v>44</v>
      </c>
    </row>
    <row r="28" spans="1:18" x14ac:dyDescent="0.25">
      <c r="A28" t="s">
        <v>39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 s="13">
        <v>0</v>
      </c>
      <c r="K28" s="13">
        <f>SUM(B28:J28)</f>
        <v>1</v>
      </c>
      <c r="L28" s="3">
        <v>0.26699999000000002</v>
      </c>
      <c r="M28" s="3" t="str">
        <f>VLOOKUP(TableExploration[[#This Row],[Sugar Percentile]],$V$10:$W$13,2)</f>
        <v>Low-Mid</v>
      </c>
      <c r="N28" s="3">
        <v>0.27900001000000002</v>
      </c>
      <c r="O28" s="3" t="str">
        <f>VLOOKUP(TableExploration[[#This Row],[Price Percentile]],$V$5:$W$7,2)</f>
        <v>Cheap</v>
      </c>
      <c r="P28">
        <v>52.911391999999999</v>
      </c>
      <c r="Q28" s="3">
        <f>P28/100</f>
        <v>0.52911392000000002</v>
      </c>
      <c r="R28" s="14">
        <f>_xlfn.RANK.EQ(TableExploration[[#This Row],[Win Percent]],Win,0)</f>
        <v>35</v>
      </c>
    </row>
    <row r="29" spans="1:18" x14ac:dyDescent="0.25">
      <c r="A29" t="s">
        <v>95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13">
        <v>1</v>
      </c>
      <c r="K29" s="13">
        <f>SUM(B29:J29)</f>
        <v>2</v>
      </c>
      <c r="L29" s="3">
        <v>0.31299999000000001</v>
      </c>
      <c r="M29" s="3" t="str">
        <f>VLOOKUP(TableExploration[[#This Row],[Sugar Percentile]],$V$10:$W$13,2)</f>
        <v>Low-Mid</v>
      </c>
      <c r="N29" s="3">
        <v>0.31299999000000001</v>
      </c>
      <c r="O29" s="3" t="str">
        <f>VLOOKUP(TableExploration[[#This Row],[Price Percentile]],$V$5:$W$7,2)</f>
        <v>Cheap</v>
      </c>
      <c r="P29">
        <v>44.375518999999997</v>
      </c>
      <c r="Q29" s="3">
        <f>P29/100</f>
        <v>0.44375518999999997</v>
      </c>
      <c r="R29" s="14">
        <f>_xlfn.RANK.EQ(TableExploration[[#This Row],[Win Percent]],Win,0)</f>
        <v>52</v>
      </c>
    </row>
    <row r="30" spans="1:18" x14ac:dyDescent="0.25">
      <c r="A30" t="s">
        <v>79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 s="13">
        <v>0</v>
      </c>
      <c r="K30" s="13">
        <f>SUM(B30:J30)</f>
        <v>2</v>
      </c>
      <c r="L30" s="3">
        <v>0.46500000000000002</v>
      </c>
      <c r="M30" s="3" t="str">
        <f>VLOOKUP(TableExploration[[#This Row],[Sugar Percentile]],$V$10:$W$13,2)</f>
        <v>Low-Mid</v>
      </c>
      <c r="N30" s="3">
        <v>0.32499999000000002</v>
      </c>
      <c r="O30" s="3" t="str">
        <f>VLOOKUP(TableExploration[[#This Row],[Price Percentile]],$V$5:$W$7,2)</f>
        <v>Cheap</v>
      </c>
      <c r="P30">
        <v>49.653503000000001</v>
      </c>
      <c r="Q30" s="3">
        <f>P30/100</f>
        <v>0.49653502999999999</v>
      </c>
      <c r="R30" s="14">
        <f>_xlfn.RANK.EQ(TableExploration[[#This Row],[Win Percent]],Win,0)</f>
        <v>40</v>
      </c>
    </row>
    <row r="31" spans="1:18" x14ac:dyDescent="0.25">
      <c r="A31" t="s">
        <v>73</v>
      </c>
      <c r="B31">
        <v>0</v>
      </c>
      <c r="C31">
        <v>0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 s="13">
        <v>0</v>
      </c>
      <c r="K31" s="13">
        <f>SUM(B31:J31)</f>
        <v>1</v>
      </c>
      <c r="L31" s="3">
        <v>0.41800000999999998</v>
      </c>
      <c r="M31" s="3" t="str">
        <f>VLOOKUP(TableExploration[[#This Row],[Sugar Percentile]],$V$10:$W$13,2)</f>
        <v>Low-Mid</v>
      </c>
      <c r="N31" s="3">
        <v>0.32499999000000002</v>
      </c>
      <c r="O31" s="3" t="str">
        <f>VLOOKUP(TableExploration[[#This Row],[Price Percentile]],$V$5:$W$7,2)</f>
        <v>Cheap</v>
      </c>
      <c r="P31">
        <v>32.230995</v>
      </c>
      <c r="Q31" s="3">
        <f>P31/100</f>
        <v>0.32230995000000001</v>
      </c>
      <c r="R31" s="14">
        <f>_xlfn.RANK.EQ(TableExploration[[#This Row],[Win Percent]],Win,0)</f>
        <v>79</v>
      </c>
    </row>
    <row r="32" spans="1:18" x14ac:dyDescent="0.25">
      <c r="A32" t="s">
        <v>26</v>
      </c>
      <c r="B32">
        <v>0</v>
      </c>
      <c r="C32">
        <v>1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 s="13">
        <v>0</v>
      </c>
      <c r="K32" s="13">
        <f>SUM(B32:J32)</f>
        <v>2</v>
      </c>
      <c r="L32" s="3">
        <v>0.73199999000000004</v>
      </c>
      <c r="M32" s="3" t="str">
        <f>VLOOKUP(TableExploration[[#This Row],[Sugar Percentile]],$V$10:$W$13,2)</f>
        <v>Mid-High</v>
      </c>
      <c r="N32" s="3">
        <v>3.4000002000000001E-2</v>
      </c>
      <c r="O32" s="3" t="str">
        <f>VLOOKUP(TableExploration[[#This Row],[Price Percentile]],$V$5:$W$7,2)</f>
        <v>Cheap</v>
      </c>
      <c r="P32">
        <v>39.460555999999997</v>
      </c>
      <c r="Q32" s="3">
        <f>P32/100</f>
        <v>0.39460555999999997</v>
      </c>
      <c r="R32" s="14">
        <f>_xlfn.RANK.EQ(TableExploration[[#This Row],[Win Percent]],Win,0)</f>
        <v>61</v>
      </c>
    </row>
    <row r="33" spans="1:18" x14ac:dyDescent="0.25">
      <c r="A33" t="s">
        <v>71</v>
      </c>
      <c r="B33">
        <v>0</v>
      </c>
      <c r="C33">
        <v>1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 s="13">
        <v>1</v>
      </c>
      <c r="K33" s="13">
        <f>SUM(B33:J33)</f>
        <v>3</v>
      </c>
      <c r="L33" s="3">
        <v>0.56900001</v>
      </c>
      <c r="M33" s="3" t="str">
        <f>VLOOKUP(TableExploration[[#This Row],[Sugar Percentile]],$V$10:$W$13,2)</f>
        <v>Mid-High</v>
      </c>
      <c r="N33" s="3">
        <v>5.7999997999999997E-2</v>
      </c>
      <c r="O33" s="3" t="str">
        <f>VLOOKUP(TableExploration[[#This Row],[Price Percentile]],$V$5:$W$7,2)</f>
        <v>Cheap</v>
      </c>
      <c r="P33">
        <v>34.578991000000002</v>
      </c>
      <c r="Q33" s="3">
        <f>P33/100</f>
        <v>0.34578991000000003</v>
      </c>
      <c r="R33" s="14">
        <f>_xlfn.RANK.EQ(TableExploration[[#This Row],[Win Percent]],Win,0)</f>
        <v>74</v>
      </c>
    </row>
    <row r="34" spans="1:18" x14ac:dyDescent="0.25">
      <c r="A34" t="s">
        <v>59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 s="13">
        <v>1</v>
      </c>
      <c r="K34" s="13">
        <f>SUM(B34:J34)</f>
        <v>2</v>
      </c>
      <c r="L34" s="3">
        <v>0.73199999000000004</v>
      </c>
      <c r="M34" s="3" t="str">
        <f>VLOOKUP(TableExploration[[#This Row],[Sugar Percentile]],$V$10:$W$13,2)</f>
        <v>Mid-High</v>
      </c>
      <c r="N34" s="3">
        <v>6.8999998000000007E-2</v>
      </c>
      <c r="O34" s="3" t="str">
        <f>VLOOKUP(TableExploration[[#This Row],[Price Percentile]],$V$5:$W$7,2)</f>
        <v>Cheap</v>
      </c>
      <c r="P34">
        <v>29.703690999999999</v>
      </c>
      <c r="Q34" s="3">
        <f>P34/100</f>
        <v>0.29703690999999999</v>
      </c>
      <c r="R34" s="14">
        <f>_xlfn.RANK.EQ(TableExploration[[#This Row],[Win Percent]],Win,0)</f>
        <v>80</v>
      </c>
    </row>
    <row r="35" spans="1:18" x14ac:dyDescent="0.25">
      <c r="A35" t="s">
        <v>56</v>
      </c>
      <c r="B35">
        <v>0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 s="13">
        <v>1</v>
      </c>
      <c r="K35" s="13">
        <f>SUM(B35:J35)</f>
        <v>2</v>
      </c>
      <c r="L35" s="3">
        <v>0.58099997000000003</v>
      </c>
      <c r="M35" s="3" t="str">
        <f>VLOOKUP(TableExploration[[#This Row],[Sugar Percentile]],$V$10:$W$13,2)</f>
        <v>Mid-High</v>
      </c>
      <c r="N35" s="3">
        <v>0.11600000000000001</v>
      </c>
      <c r="O35" s="3" t="str">
        <f>VLOOKUP(TableExploration[[#This Row],[Price Percentile]],$V$5:$W$7,2)</f>
        <v>Cheap</v>
      </c>
      <c r="P35">
        <v>37.348522000000003</v>
      </c>
      <c r="Q35" s="3">
        <f>P35/100</f>
        <v>0.37348522000000001</v>
      </c>
      <c r="R35" s="14">
        <f>_xlfn.RANK.EQ(TableExploration[[#This Row],[Win Percent]],Win,0)</f>
        <v>70</v>
      </c>
    </row>
    <row r="36" spans="1:18" x14ac:dyDescent="0.25">
      <c r="A36" t="s">
        <v>76</v>
      </c>
      <c r="B36">
        <v>1</v>
      </c>
      <c r="C36">
        <v>1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 s="13">
        <v>0</v>
      </c>
      <c r="K36" s="13">
        <f>SUM(B36:J36)</f>
        <v>3</v>
      </c>
      <c r="L36" s="3">
        <v>0.60399997000000005</v>
      </c>
      <c r="M36" s="3" t="str">
        <f>VLOOKUP(TableExploration[[#This Row],[Sugar Percentile]],$V$10:$W$13,2)</f>
        <v>Mid-High</v>
      </c>
      <c r="N36" s="3">
        <v>0.32499999000000002</v>
      </c>
      <c r="O36" s="3" t="str">
        <f>VLOOKUP(TableExploration[[#This Row],[Price Percentile]],$V$5:$W$7,2)</f>
        <v>Cheap</v>
      </c>
      <c r="P36">
        <v>48.982650999999997</v>
      </c>
      <c r="Q36" s="3">
        <f>P36/100</f>
        <v>0.48982650999999999</v>
      </c>
      <c r="R36" s="14">
        <f>_xlfn.RANK.EQ(TableExploration[[#This Row],[Win Percent]],Win,0)</f>
        <v>42</v>
      </c>
    </row>
    <row r="37" spans="1:18" x14ac:dyDescent="0.25">
      <c r="A37" t="s">
        <v>28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 s="13">
        <v>0</v>
      </c>
      <c r="K37" s="13">
        <f>SUM(B37:J37)</f>
        <v>2</v>
      </c>
      <c r="L37" s="3">
        <v>0.73199999000000004</v>
      </c>
      <c r="M37" s="3" t="str">
        <f>VLOOKUP(TableExploration[[#This Row],[Sugar Percentile]],$V$10:$W$13,2)</f>
        <v>Mid-High</v>
      </c>
      <c r="N37" s="3">
        <v>0.32499999000000002</v>
      </c>
      <c r="O37" s="3" t="str">
        <f>VLOOKUP(TableExploration[[#This Row],[Price Percentile]],$V$5:$W$7,2)</f>
        <v>Cheap</v>
      </c>
      <c r="P37">
        <v>39.185504999999999</v>
      </c>
      <c r="Q37" s="3">
        <f>P37/100</f>
        <v>0.39185504999999998</v>
      </c>
      <c r="R37" s="14">
        <f>_xlfn.RANK.EQ(TableExploration[[#This Row],[Win Percent]],Win,0)</f>
        <v>63</v>
      </c>
    </row>
    <row r="38" spans="1:18" x14ac:dyDescent="0.25">
      <c r="A38" t="s">
        <v>21</v>
      </c>
      <c r="B38">
        <v>0</v>
      </c>
      <c r="C38">
        <v>1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 s="13">
        <v>0</v>
      </c>
      <c r="K38" s="13">
        <f>SUM(B38:J38)</f>
        <v>2</v>
      </c>
      <c r="L38" s="3">
        <v>0.60399997000000005</v>
      </c>
      <c r="M38" s="3" t="str">
        <f>VLOOKUP(TableExploration[[#This Row],[Sugar Percentile]],$V$10:$W$13,2)</f>
        <v>Mid-High</v>
      </c>
      <c r="N38" s="3">
        <v>0.32499999000000002</v>
      </c>
      <c r="O38" s="3" t="str">
        <f>VLOOKUP(TableExploration[[#This Row],[Price Percentile]],$V$5:$W$7,2)</f>
        <v>Cheap</v>
      </c>
      <c r="P38">
        <v>34.517681000000003</v>
      </c>
      <c r="Q38" s="3">
        <f>P38/100</f>
        <v>0.34517681000000006</v>
      </c>
      <c r="R38" s="14">
        <f>_xlfn.RANK.EQ(TableExploration[[#This Row],[Win Percent]],Win,0)</f>
        <v>75</v>
      </c>
    </row>
    <row r="39" spans="1:18" x14ac:dyDescent="0.25">
      <c r="A39" t="s">
        <v>29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 s="13">
        <v>1</v>
      </c>
      <c r="K39" s="13">
        <f>SUM(B39:J39)</f>
        <v>3</v>
      </c>
      <c r="L39" s="3">
        <v>0.90600002000000002</v>
      </c>
      <c r="M39" s="3" t="str">
        <f>VLOOKUP(TableExploration[[#This Row],[Sugar Percentile]],$V$10:$W$13,2)</f>
        <v>High</v>
      </c>
      <c r="N39" s="3">
        <v>0.45300001000000001</v>
      </c>
      <c r="O39" s="3" t="str">
        <f>VLOOKUP(TableExploration[[#This Row],[Price Percentile]],$V$5:$W$7,2)</f>
        <v>Average</v>
      </c>
      <c r="P39">
        <v>46.783347999999997</v>
      </c>
      <c r="Q39" s="3">
        <f>P39/100</f>
        <v>0.46783347999999997</v>
      </c>
      <c r="R39" s="14">
        <f>_xlfn.RANK.EQ(TableExploration[[#This Row],[Win Percent]],Win,0)</f>
        <v>45</v>
      </c>
    </row>
    <row r="40" spans="1:18" x14ac:dyDescent="0.25">
      <c r="A40" t="s">
        <v>16</v>
      </c>
      <c r="B40">
        <v>0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 s="13">
        <v>0</v>
      </c>
      <c r="K40" s="13">
        <f>SUM(B40:J40)</f>
        <v>1</v>
      </c>
      <c r="L40" s="3">
        <v>0.90600002000000002</v>
      </c>
      <c r="M40" s="3" t="str">
        <f>VLOOKUP(TableExploration[[#This Row],[Sugar Percentile]],$V$10:$W$13,2)</f>
        <v>High</v>
      </c>
      <c r="N40" s="3">
        <v>0.51099998000000002</v>
      </c>
      <c r="O40" s="3" t="str">
        <f>VLOOKUP(TableExploration[[#This Row],[Price Percentile]],$V$5:$W$7,2)</f>
        <v>Average</v>
      </c>
      <c r="P40">
        <v>52.341464999999999</v>
      </c>
      <c r="Q40" s="3">
        <f>P40/100</f>
        <v>0.52341464999999998</v>
      </c>
      <c r="R40" s="14">
        <f>_xlfn.RANK.EQ(TableExploration[[#This Row],[Win Percent]],Win,0)</f>
        <v>37</v>
      </c>
    </row>
    <row r="41" spans="1:18" x14ac:dyDescent="0.25">
      <c r="A41" t="s">
        <v>94</v>
      </c>
      <c r="B41">
        <v>1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 s="13">
        <v>0</v>
      </c>
      <c r="K41" s="13">
        <f>SUM(B41:J41)</f>
        <v>2</v>
      </c>
      <c r="L41" s="3">
        <v>0.98799998</v>
      </c>
      <c r="M41" s="3" t="str">
        <f>VLOOKUP(TableExploration[[#This Row],[Sugar Percentile]],$V$10:$W$13,2)</f>
        <v>High</v>
      </c>
      <c r="N41" s="3">
        <v>0.65100002000000001</v>
      </c>
      <c r="O41" s="3" t="str">
        <f>VLOOKUP(TableExploration[[#This Row],[Price Percentile]],$V$5:$W$7,2)</f>
        <v>Average</v>
      </c>
      <c r="P41">
        <v>72.887900999999999</v>
      </c>
      <c r="Q41" s="3">
        <f>P41/100</f>
        <v>0.72887900999999999</v>
      </c>
      <c r="R41" s="14">
        <f>_xlfn.RANK.EQ(TableExploration[[#This Row],[Win Percent]],Win,0)</f>
        <v>8</v>
      </c>
    </row>
    <row r="42" spans="1:18" x14ac:dyDescent="0.25">
      <c r="A42" t="s">
        <v>89</v>
      </c>
      <c r="B42">
        <v>1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 s="13">
        <v>1</v>
      </c>
      <c r="K42" s="13">
        <f>SUM(B42:J42)</f>
        <v>3</v>
      </c>
      <c r="L42" s="3">
        <v>0.82499999000000002</v>
      </c>
      <c r="M42" s="3" t="str">
        <f>VLOOKUP(TableExploration[[#This Row],[Sugar Percentile]],$V$10:$W$13,2)</f>
        <v>High</v>
      </c>
      <c r="N42" s="3">
        <v>0.65100002000000001</v>
      </c>
      <c r="O42" s="3" t="str">
        <f>VLOOKUP(TableExploration[[#This Row],[Price Percentile]],$V$5:$W$7,2)</f>
        <v>Average</v>
      </c>
      <c r="P42">
        <v>71.465050000000005</v>
      </c>
      <c r="Q42" s="3">
        <f>P42/100</f>
        <v>0.71465050000000008</v>
      </c>
      <c r="R42" s="14">
        <f>_xlfn.RANK.EQ(TableExploration[[#This Row],[Win Percent]],Win,0)</f>
        <v>9</v>
      </c>
    </row>
    <row r="43" spans="1:18" x14ac:dyDescent="0.25">
      <c r="A43" t="s">
        <v>90</v>
      </c>
      <c r="B43">
        <v>1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 s="13">
        <v>1</v>
      </c>
      <c r="K43" s="13">
        <f>SUM(B43:J43)</f>
        <v>2</v>
      </c>
      <c r="L43" s="3">
        <v>0.82499999000000002</v>
      </c>
      <c r="M43" s="3" t="str">
        <f>VLOOKUP(TableExploration[[#This Row],[Sugar Percentile]],$V$10:$W$13,2)</f>
        <v>High</v>
      </c>
      <c r="N43" s="3">
        <v>0.65100002000000001</v>
      </c>
      <c r="O43" s="3" t="str">
        <f>VLOOKUP(TableExploration[[#This Row],[Price Percentile]],$V$5:$W$7,2)</f>
        <v>Average</v>
      </c>
      <c r="P43">
        <v>66.574584999999999</v>
      </c>
      <c r="Q43" s="3">
        <f>P43/100</f>
        <v>0.66574584999999997</v>
      </c>
      <c r="R43" s="14">
        <f>_xlfn.RANK.EQ(TableExploration[[#This Row],[Win Percent]],Win,0)</f>
        <v>15</v>
      </c>
    </row>
    <row r="44" spans="1:18" x14ac:dyDescent="0.25">
      <c r="A44" t="s">
        <v>35</v>
      </c>
      <c r="B44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 s="13">
        <v>1</v>
      </c>
      <c r="K44" s="13">
        <f>SUM(B44:J44)</f>
        <v>2</v>
      </c>
      <c r="L44" s="3">
        <v>0.19700000000000001</v>
      </c>
      <c r="M44" s="3" t="str">
        <f>VLOOKUP(TableExploration[[#This Row],[Sugar Percentile]],$V$10:$W$13,2)</f>
        <v>Low</v>
      </c>
      <c r="N44" s="3">
        <v>0.51099998000000002</v>
      </c>
      <c r="O44" s="3" t="str">
        <f>VLOOKUP(TableExploration[[#This Row],[Price Percentile]],$V$5:$W$7,2)</f>
        <v>Average</v>
      </c>
      <c r="P44">
        <v>57.219250000000002</v>
      </c>
      <c r="Q44" s="3">
        <f>P44/100</f>
        <v>0.57219249999999999</v>
      </c>
      <c r="R44" s="14">
        <f>_xlfn.RANK.EQ(TableExploration[[#This Row],[Win Percent]],Win,0)</f>
        <v>25</v>
      </c>
    </row>
    <row r="45" spans="1:18" x14ac:dyDescent="0.25">
      <c r="A45" t="s">
        <v>15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 s="13">
        <v>0</v>
      </c>
      <c r="K45" s="13">
        <f>SUM(B45:J45)</f>
        <v>0</v>
      </c>
      <c r="L45" s="3">
        <v>1.0999999999999999E-2</v>
      </c>
      <c r="M45" s="3" t="str">
        <f>VLOOKUP(TableExploration[[#This Row],[Sugar Percentile]],$V$10:$W$13,2)</f>
        <v>Low</v>
      </c>
      <c r="N45" s="3">
        <v>0.51099998000000002</v>
      </c>
      <c r="O45" s="3" t="str">
        <f>VLOOKUP(TableExploration[[#This Row],[Price Percentile]],$V$5:$W$7,2)</f>
        <v>Average</v>
      </c>
      <c r="P45">
        <v>46.116504999999997</v>
      </c>
      <c r="Q45" s="3">
        <f>P45/100</f>
        <v>0.46116504999999997</v>
      </c>
      <c r="R45" s="14">
        <f>_xlfn.RANK.EQ(TableExploration[[#This Row],[Win Percent]],Win,0)</f>
        <v>48</v>
      </c>
    </row>
    <row r="46" spans="1:18" x14ac:dyDescent="0.25">
      <c r="A46" t="s">
        <v>34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1</v>
      </c>
      <c r="I46">
        <v>0</v>
      </c>
      <c r="J46" s="13">
        <v>1</v>
      </c>
      <c r="K46" s="13">
        <f>SUM(B46:J46)</f>
        <v>3</v>
      </c>
      <c r="L46" s="3">
        <v>9.3000001999999998E-2</v>
      </c>
      <c r="M46" s="3" t="str">
        <f>VLOOKUP(TableExploration[[#This Row],[Sugar Percentile]],$V$10:$W$13,2)</f>
        <v>Low</v>
      </c>
      <c r="N46" s="3">
        <v>0.51099998000000002</v>
      </c>
      <c r="O46" s="3" t="str">
        <f>VLOOKUP(TableExploration[[#This Row],[Price Percentile]],$V$5:$W$7,2)</f>
        <v>Average</v>
      </c>
      <c r="P46">
        <v>28.127438999999999</v>
      </c>
      <c r="Q46" s="3">
        <f>P46/100</f>
        <v>0.28127438999999999</v>
      </c>
      <c r="R46" s="14">
        <f>_xlfn.RANK.EQ(TableExploration[[#This Row],[Win Percent]],Win,0)</f>
        <v>81</v>
      </c>
    </row>
    <row r="47" spans="1:18" x14ac:dyDescent="0.25">
      <c r="A47" t="s">
        <v>30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 s="13">
        <v>1</v>
      </c>
      <c r="K47" s="13">
        <f>SUM(B47:J47)</f>
        <v>2</v>
      </c>
      <c r="L47" s="3">
        <v>0.46500000000000002</v>
      </c>
      <c r="M47" s="3" t="str">
        <f>VLOOKUP(TableExploration[[#This Row],[Sugar Percentile]],$V$10:$W$13,2)</f>
        <v>Low-Mid</v>
      </c>
      <c r="N47" s="3">
        <v>0.46500000000000002</v>
      </c>
      <c r="O47" s="3" t="str">
        <f>VLOOKUP(TableExploration[[#This Row],[Price Percentile]],$V$5:$W$7,2)</f>
        <v>Average</v>
      </c>
      <c r="P47">
        <v>57.11974</v>
      </c>
      <c r="Q47" s="3">
        <f>P47/100</f>
        <v>0.57119739999999997</v>
      </c>
      <c r="R47" s="14">
        <f>_xlfn.RANK.EQ(TableExploration[[#This Row],[Win Percent]],Win,0)</f>
        <v>26</v>
      </c>
    </row>
    <row r="48" spans="1:18" x14ac:dyDescent="0.25">
      <c r="A48" t="s">
        <v>32</v>
      </c>
      <c r="B48">
        <v>0</v>
      </c>
      <c r="C48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13">
        <v>1</v>
      </c>
      <c r="K48" s="13">
        <f>SUM(B48:J48)</f>
        <v>2</v>
      </c>
      <c r="L48" s="3">
        <v>0.46500000000000002</v>
      </c>
      <c r="M48" s="3" t="str">
        <f>VLOOKUP(TableExploration[[#This Row],[Sugar Percentile]],$V$10:$W$13,2)</f>
        <v>Low-Mid</v>
      </c>
      <c r="N48" s="3">
        <v>0.46500000000000002</v>
      </c>
      <c r="O48" s="3" t="str">
        <f>VLOOKUP(TableExploration[[#This Row],[Price Percentile]],$V$5:$W$7,2)</f>
        <v>Average</v>
      </c>
      <c r="P48">
        <v>51.412430000000001</v>
      </c>
      <c r="Q48" s="3">
        <f>P48/100</f>
        <v>0.51412429999999998</v>
      </c>
      <c r="R48" s="14">
        <f>_xlfn.RANK.EQ(TableExploration[[#This Row],[Win Percent]],Win,0)</f>
        <v>38</v>
      </c>
    </row>
    <row r="49" spans="1:18" x14ac:dyDescent="0.25">
      <c r="A49" t="s">
        <v>33</v>
      </c>
      <c r="B49">
        <v>0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 s="13">
        <v>1</v>
      </c>
      <c r="K49" s="13">
        <f>SUM(B49:J49)</f>
        <v>2</v>
      </c>
      <c r="L49" s="3">
        <v>0.46500000000000002</v>
      </c>
      <c r="M49" s="3" t="str">
        <f>VLOOKUP(TableExploration[[#This Row],[Sugar Percentile]],$V$10:$W$13,2)</f>
        <v>Low-Mid</v>
      </c>
      <c r="N49" s="3">
        <v>0.46500000000000002</v>
      </c>
      <c r="O49" s="3" t="str">
        <f>VLOOKUP(TableExploration[[#This Row],[Price Percentile]],$V$5:$W$7,2)</f>
        <v>Average</v>
      </c>
      <c r="P49">
        <v>42.178772000000002</v>
      </c>
      <c r="Q49" s="3">
        <f>P49/100</f>
        <v>0.42178772000000003</v>
      </c>
      <c r="R49" s="14">
        <f>_xlfn.RANK.EQ(TableExploration[[#This Row],[Win Percent]],Win,0)</f>
        <v>57</v>
      </c>
    </row>
    <row r="50" spans="1:18" x14ac:dyDescent="0.25">
      <c r="A50" t="s">
        <v>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 s="13">
        <v>1</v>
      </c>
      <c r="K50" s="13">
        <f>SUM(B50:J50)</f>
        <v>1</v>
      </c>
      <c r="L50" s="3">
        <v>0.46500000000000002</v>
      </c>
      <c r="M50" s="3" t="str">
        <f>VLOOKUP(TableExploration[[#This Row],[Sugar Percentile]],$V$10:$W$13,2)</f>
        <v>Low-Mid</v>
      </c>
      <c r="N50" s="3">
        <v>0.46500000000000002</v>
      </c>
      <c r="O50" s="3" t="str">
        <f>VLOOKUP(TableExploration[[#This Row],[Price Percentile]],$V$5:$W$7,2)</f>
        <v>Average</v>
      </c>
      <c r="P50">
        <v>34.158957999999998</v>
      </c>
      <c r="Q50" s="3">
        <f>P50/100</f>
        <v>0.34158958</v>
      </c>
      <c r="R50" s="14">
        <f>_xlfn.RANK.EQ(TableExploration[[#This Row],[Win Percent]],Win,0)</f>
        <v>76</v>
      </c>
    </row>
    <row r="51" spans="1:18" x14ac:dyDescent="0.25">
      <c r="A51" t="s">
        <v>36</v>
      </c>
      <c r="B51">
        <v>1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1</v>
      </c>
      <c r="J51" s="13">
        <v>0</v>
      </c>
      <c r="K51" s="13">
        <f>SUM(B51:J51)</f>
        <v>3</v>
      </c>
      <c r="L51" s="3">
        <v>0.31299999000000001</v>
      </c>
      <c r="M51" s="3" t="str">
        <f>VLOOKUP(TableExploration[[#This Row],[Sugar Percentile]],$V$10:$W$13,2)</f>
        <v>Low-Mid</v>
      </c>
      <c r="N51" s="3">
        <v>0.51099998000000002</v>
      </c>
      <c r="O51" s="3" t="str">
        <f>VLOOKUP(TableExploration[[#This Row],[Price Percentile]],$V$5:$W$7,2)</f>
        <v>Average</v>
      </c>
      <c r="P51">
        <v>76.768600000000006</v>
      </c>
      <c r="Q51" s="3">
        <f>P51/100</f>
        <v>0.76768600000000009</v>
      </c>
      <c r="R51" s="14">
        <f>_xlfn.RANK.EQ(TableExploration[[#This Row],[Win Percent]],Win,0)</f>
        <v>4</v>
      </c>
    </row>
    <row r="52" spans="1:18" x14ac:dyDescent="0.25">
      <c r="A52" t="s">
        <v>41</v>
      </c>
      <c r="B52">
        <v>1</v>
      </c>
      <c r="C52">
        <v>0</v>
      </c>
      <c r="D52">
        <v>1</v>
      </c>
      <c r="E52">
        <v>0</v>
      </c>
      <c r="F52">
        <v>0</v>
      </c>
      <c r="G52">
        <v>0</v>
      </c>
      <c r="H52">
        <v>0</v>
      </c>
      <c r="I52">
        <v>0</v>
      </c>
      <c r="J52" s="13">
        <v>1</v>
      </c>
      <c r="K52" s="13">
        <f>SUM(B52:J52)</f>
        <v>3</v>
      </c>
      <c r="L52" s="3">
        <v>0.30199999</v>
      </c>
      <c r="M52" s="3" t="str">
        <f>VLOOKUP(TableExploration[[#This Row],[Sugar Percentile]],$V$10:$W$13,2)</f>
        <v>Low-Mid</v>
      </c>
      <c r="N52" s="3">
        <v>0.51099998000000002</v>
      </c>
      <c r="O52" s="3" t="str">
        <f>VLOOKUP(TableExploration[[#This Row],[Price Percentile]],$V$5:$W$7,2)</f>
        <v>Average</v>
      </c>
      <c r="P52">
        <v>55.064072000000003</v>
      </c>
      <c r="Q52" s="3">
        <f>P52/100</f>
        <v>0.55064072000000008</v>
      </c>
      <c r="R52" s="14">
        <f>_xlfn.RANK.EQ(TableExploration[[#This Row],[Win Percent]],Win,0)</f>
        <v>32</v>
      </c>
    </row>
    <row r="53" spans="1:18" x14ac:dyDescent="0.25">
      <c r="A53" t="s">
        <v>77</v>
      </c>
      <c r="B53">
        <v>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13">
        <v>0</v>
      </c>
      <c r="K53" s="13">
        <f>SUM(B53:J53)</f>
        <v>1</v>
      </c>
      <c r="L53" s="3">
        <v>0.31299999000000001</v>
      </c>
      <c r="M53" s="3" t="str">
        <f>VLOOKUP(TableExploration[[#This Row],[Sugar Percentile]],$V$10:$W$13,2)</f>
        <v>Low-Mid</v>
      </c>
      <c r="N53" s="3">
        <v>0.51099998000000002</v>
      </c>
      <c r="O53" s="3" t="str">
        <f>VLOOKUP(TableExploration[[#This Row],[Price Percentile]],$V$5:$W$7,2)</f>
        <v>Average</v>
      </c>
      <c r="P53">
        <v>43.068897</v>
      </c>
      <c r="Q53" s="3">
        <f>P53/100</f>
        <v>0.43068897</v>
      </c>
      <c r="R53" s="14">
        <f>_xlfn.RANK.EQ(TableExploration[[#This Row],[Win Percent]],Win,0)</f>
        <v>54</v>
      </c>
    </row>
    <row r="54" spans="1:18" x14ac:dyDescent="0.25">
      <c r="A54" t="s">
        <v>19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 s="13">
        <v>1</v>
      </c>
      <c r="K54" s="13">
        <f>SUM(B54:J54)</f>
        <v>2</v>
      </c>
      <c r="L54" s="3">
        <v>0.31299999000000001</v>
      </c>
      <c r="M54" s="3" t="str">
        <f>VLOOKUP(TableExploration[[#This Row],[Sugar Percentile]],$V$10:$W$13,2)</f>
        <v>Low-Mid</v>
      </c>
      <c r="N54" s="3">
        <v>0.51099998000000002</v>
      </c>
      <c r="O54" s="3" t="str">
        <f>VLOOKUP(TableExploration[[#This Row],[Price Percentile]],$V$5:$W$7,2)</f>
        <v>Average</v>
      </c>
      <c r="P54">
        <v>23.417824</v>
      </c>
      <c r="Q54" s="3">
        <f>P54/100</f>
        <v>0.23417823999999998</v>
      </c>
      <c r="R54" s="14">
        <f>_xlfn.RANK.EQ(TableExploration[[#This Row],[Win Percent]],Win,0)</f>
        <v>84</v>
      </c>
    </row>
    <row r="55" spans="1:18" x14ac:dyDescent="0.25">
      <c r="A55" t="s">
        <v>93</v>
      </c>
      <c r="B55">
        <v>1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 s="13">
        <v>1</v>
      </c>
      <c r="K55" s="13">
        <f>SUM(B55:J55)</f>
        <v>3</v>
      </c>
      <c r="L55" s="3">
        <v>0.40599998999999998</v>
      </c>
      <c r="M55" s="3" t="str">
        <f>VLOOKUP(TableExploration[[#This Row],[Sugar Percentile]],$V$10:$W$13,2)</f>
        <v>Low-Mid</v>
      </c>
      <c r="N55" s="3">
        <v>0.65100002000000001</v>
      </c>
      <c r="O55" s="3" t="str">
        <f>VLOOKUP(TableExploration[[#This Row],[Price Percentile]],$V$5:$W$7,2)</f>
        <v>Average</v>
      </c>
      <c r="P55">
        <v>73.434989999999999</v>
      </c>
      <c r="Q55" s="3">
        <f>P55/100</f>
        <v>0.7343499</v>
      </c>
      <c r="R55" s="14">
        <f>_xlfn.RANK.EQ(TableExploration[[#This Row],[Win Percent]],Win,0)</f>
        <v>6</v>
      </c>
    </row>
    <row r="56" spans="1:18" x14ac:dyDescent="0.25">
      <c r="A56" t="s">
        <v>43</v>
      </c>
      <c r="B56">
        <v>1</v>
      </c>
      <c r="C56">
        <v>0</v>
      </c>
      <c r="D56">
        <v>1</v>
      </c>
      <c r="E56">
        <v>0</v>
      </c>
      <c r="F56">
        <v>1</v>
      </c>
      <c r="G56">
        <v>0</v>
      </c>
      <c r="H56">
        <v>0</v>
      </c>
      <c r="I56">
        <v>1</v>
      </c>
      <c r="J56" s="13">
        <v>0</v>
      </c>
      <c r="K56" s="13">
        <f>SUM(B56:J56)</f>
        <v>4</v>
      </c>
      <c r="L56" s="3">
        <v>0.73199999000000004</v>
      </c>
      <c r="M56" s="3" t="str">
        <f>VLOOKUP(TableExploration[[#This Row],[Sugar Percentile]],$V$10:$W$13,2)</f>
        <v>Mid-High</v>
      </c>
      <c r="N56" s="3">
        <v>0.44100001</v>
      </c>
      <c r="O56" s="3" t="str">
        <f>VLOOKUP(TableExploration[[#This Row],[Price Percentile]],$V$5:$W$7,2)</f>
        <v>Average</v>
      </c>
      <c r="P56">
        <v>60.800700999999997</v>
      </c>
      <c r="Q56" s="3">
        <f>P56/100</f>
        <v>0.60800701000000001</v>
      </c>
      <c r="R56" s="14">
        <f>_xlfn.RANK.EQ(TableExploration[[#This Row],[Win Percent]],Win,0)</f>
        <v>21</v>
      </c>
    </row>
    <row r="57" spans="1:18" x14ac:dyDescent="0.25">
      <c r="A57" t="s">
        <v>13</v>
      </c>
      <c r="B57">
        <v>1</v>
      </c>
      <c r="C57">
        <v>0</v>
      </c>
      <c r="D57">
        <v>0</v>
      </c>
      <c r="E57">
        <v>0</v>
      </c>
      <c r="F57">
        <v>1</v>
      </c>
      <c r="G57">
        <v>0</v>
      </c>
      <c r="H57">
        <v>0</v>
      </c>
      <c r="I57">
        <v>1</v>
      </c>
      <c r="J57" s="13">
        <v>0</v>
      </c>
      <c r="K57" s="13">
        <f>SUM(B57:J57)</f>
        <v>3</v>
      </c>
      <c r="L57" s="3">
        <v>0.60399997000000005</v>
      </c>
      <c r="M57" s="3" t="str">
        <f>VLOOKUP(TableExploration[[#This Row],[Sugar Percentile]],$V$10:$W$13,2)</f>
        <v>Mid-High</v>
      </c>
      <c r="N57" s="3">
        <v>0.51099998000000002</v>
      </c>
      <c r="O57" s="3" t="str">
        <f>VLOOKUP(TableExploration[[#This Row],[Price Percentile]],$V$5:$W$7,2)</f>
        <v>Average</v>
      </c>
      <c r="P57">
        <v>67.602936</v>
      </c>
      <c r="Q57" s="3">
        <f>P57/100</f>
        <v>0.67602936000000002</v>
      </c>
      <c r="R57" s="14">
        <f>_xlfn.RANK.EQ(TableExploration[[#This Row],[Win Percent]],Win,0)</f>
        <v>12</v>
      </c>
    </row>
    <row r="58" spans="1:18" x14ac:dyDescent="0.25">
      <c r="A58" t="s">
        <v>25</v>
      </c>
      <c r="B58">
        <v>0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13">
        <v>1</v>
      </c>
      <c r="K58" s="13">
        <f>SUM(B58:J58)</f>
        <v>2</v>
      </c>
      <c r="L58" s="3">
        <v>0.73199999000000004</v>
      </c>
      <c r="M58" s="3" t="str">
        <f>VLOOKUP(TableExploration[[#This Row],[Sugar Percentile]],$V$10:$W$13,2)</f>
        <v>Mid-High</v>
      </c>
      <c r="N58" s="3">
        <v>0.51099998000000002</v>
      </c>
      <c r="O58" s="3" t="str">
        <f>VLOOKUP(TableExploration[[#This Row],[Price Percentile]],$V$5:$W$7,2)</f>
        <v>Average</v>
      </c>
      <c r="P58">
        <v>42.272075999999998</v>
      </c>
      <c r="Q58" s="3">
        <f>P58/100</f>
        <v>0.42272075999999997</v>
      </c>
      <c r="R58" s="14">
        <f>_xlfn.RANK.EQ(TableExploration[[#This Row],[Win Percent]],Win,0)</f>
        <v>56</v>
      </c>
    </row>
    <row r="59" spans="1:18" x14ac:dyDescent="0.25">
      <c r="A59" t="s">
        <v>22</v>
      </c>
      <c r="B59">
        <v>1</v>
      </c>
      <c r="C59">
        <v>0</v>
      </c>
      <c r="D59">
        <v>0</v>
      </c>
      <c r="E59">
        <v>0</v>
      </c>
      <c r="F59">
        <v>1</v>
      </c>
      <c r="G59">
        <v>0</v>
      </c>
      <c r="H59">
        <v>0</v>
      </c>
      <c r="I59">
        <v>1</v>
      </c>
      <c r="J59" s="13">
        <v>0</v>
      </c>
      <c r="K59" s="13">
        <f>SUM(B59:J59)</f>
        <v>3</v>
      </c>
      <c r="L59" s="3">
        <v>0.60399997000000005</v>
      </c>
      <c r="M59" s="3" t="str">
        <f>VLOOKUP(TableExploration[[#This Row],[Sugar Percentile]],$V$10:$W$13,2)</f>
        <v>Mid-High</v>
      </c>
      <c r="N59" s="3">
        <v>0.51099998000000002</v>
      </c>
      <c r="O59" s="3" t="str">
        <f>VLOOKUP(TableExploration[[#This Row],[Price Percentile]],$V$5:$W$7,2)</f>
        <v>Average</v>
      </c>
      <c r="P59">
        <v>38.975037</v>
      </c>
      <c r="Q59" s="3">
        <f>P59/100</f>
        <v>0.38975037000000001</v>
      </c>
      <c r="R59" s="14">
        <f>_xlfn.RANK.EQ(TableExploration[[#This Row],[Win Percent]],Win,0)</f>
        <v>66</v>
      </c>
    </row>
    <row r="60" spans="1:18" x14ac:dyDescent="0.25">
      <c r="A60" t="s">
        <v>23</v>
      </c>
      <c r="B60">
        <v>0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 s="13">
        <v>1</v>
      </c>
      <c r="K60" s="13">
        <f>SUM(B60:J60)</f>
        <v>2</v>
      </c>
      <c r="L60" s="3">
        <v>0.73199999000000004</v>
      </c>
      <c r="M60" s="3" t="str">
        <f>VLOOKUP(TableExploration[[#This Row],[Sugar Percentile]],$V$10:$W$13,2)</f>
        <v>Mid-High</v>
      </c>
      <c r="N60" s="3">
        <v>0.51099998000000002</v>
      </c>
      <c r="O60" s="3" t="str">
        <f>VLOOKUP(TableExploration[[#This Row],[Price Percentile]],$V$5:$W$7,2)</f>
        <v>Average</v>
      </c>
      <c r="P60">
        <v>36.017628000000002</v>
      </c>
      <c r="Q60" s="3">
        <f>P60/100</f>
        <v>0.36017628000000002</v>
      </c>
      <c r="R60" s="14">
        <f>_xlfn.RANK.EQ(TableExploration[[#This Row],[Win Percent]],Win,0)</f>
        <v>71</v>
      </c>
    </row>
    <row r="61" spans="1:18" x14ac:dyDescent="0.25">
      <c r="A61" t="s">
        <v>92</v>
      </c>
      <c r="B61">
        <v>1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 s="13">
        <v>0</v>
      </c>
      <c r="K61" s="13">
        <f>SUM(B61:J61)</f>
        <v>2</v>
      </c>
      <c r="L61" s="3">
        <v>0.72000003000000001</v>
      </c>
      <c r="M61" s="3" t="str">
        <f>VLOOKUP(TableExploration[[#This Row],[Sugar Percentile]],$V$10:$W$13,2)</f>
        <v>Mid-High</v>
      </c>
      <c r="N61" s="3">
        <v>0.65100002000000001</v>
      </c>
      <c r="O61" s="3" t="str">
        <f>VLOOKUP(TableExploration[[#This Row],[Price Percentile]],$V$5:$W$7,2)</f>
        <v>Average</v>
      </c>
      <c r="P61">
        <v>84.180289999999999</v>
      </c>
      <c r="Q61" s="3">
        <f>P61/100</f>
        <v>0.84180290000000002</v>
      </c>
      <c r="R61" s="14">
        <f>_xlfn.RANK.EQ(TableExploration[[#This Row],[Win Percent]],Win,0)</f>
        <v>1</v>
      </c>
    </row>
    <row r="62" spans="1:18" x14ac:dyDescent="0.25">
      <c r="A62" t="s">
        <v>66</v>
      </c>
      <c r="B62">
        <v>1</v>
      </c>
      <c r="C62">
        <v>0</v>
      </c>
      <c r="D62">
        <v>1</v>
      </c>
      <c r="E62">
        <v>1</v>
      </c>
      <c r="F62">
        <v>1</v>
      </c>
      <c r="G62">
        <v>0</v>
      </c>
      <c r="H62">
        <v>0</v>
      </c>
      <c r="I62">
        <v>1</v>
      </c>
      <c r="J62" s="13">
        <v>0</v>
      </c>
      <c r="K62" s="13">
        <f>SUM(B62:J62)</f>
        <v>5</v>
      </c>
      <c r="L62" s="3">
        <v>0.54600000000000004</v>
      </c>
      <c r="M62" s="3" t="str">
        <f>VLOOKUP(TableExploration[[#This Row],[Sugar Percentile]],$V$10:$W$13,2)</f>
        <v>Mid-High</v>
      </c>
      <c r="N62" s="3">
        <v>0.65100002000000001</v>
      </c>
      <c r="O62" s="3" t="str">
        <f>VLOOKUP(TableExploration[[#This Row],[Price Percentile]],$V$5:$W$7,2)</f>
        <v>Average</v>
      </c>
      <c r="P62">
        <v>76.673782000000003</v>
      </c>
      <c r="Q62" s="3">
        <f>P62/100</f>
        <v>0.76673782000000001</v>
      </c>
      <c r="R62" s="14">
        <f>_xlfn.RANK.EQ(TableExploration[[#This Row],[Win Percent]],Win,0)</f>
        <v>5</v>
      </c>
    </row>
    <row r="63" spans="1:18" x14ac:dyDescent="0.25">
      <c r="A63" t="s">
        <v>42</v>
      </c>
      <c r="B63">
        <v>1</v>
      </c>
      <c r="C63">
        <v>0</v>
      </c>
      <c r="D63">
        <v>1</v>
      </c>
      <c r="E63">
        <v>0</v>
      </c>
      <c r="F63">
        <v>1</v>
      </c>
      <c r="G63">
        <v>0</v>
      </c>
      <c r="H63">
        <v>0</v>
      </c>
      <c r="I63">
        <v>1</v>
      </c>
      <c r="J63" s="13">
        <v>0</v>
      </c>
      <c r="K63" s="13">
        <f>SUM(B63:J63)</f>
        <v>4</v>
      </c>
      <c r="L63" s="3">
        <v>0.60399997000000005</v>
      </c>
      <c r="M63" s="3" t="str">
        <f>VLOOKUP(TableExploration[[#This Row],[Sugar Percentile]],$V$10:$W$13,2)</f>
        <v>Mid-High</v>
      </c>
      <c r="N63" s="3">
        <v>0.65100002000000001</v>
      </c>
      <c r="O63" s="3" t="str">
        <f>VLOOKUP(TableExploration[[#This Row],[Price Percentile]],$V$5:$W$7,2)</f>
        <v>Average</v>
      </c>
      <c r="P63">
        <v>73.099556000000007</v>
      </c>
      <c r="Q63" s="3">
        <f>P63/100</f>
        <v>0.7309955600000001</v>
      </c>
      <c r="R63" s="14">
        <f>_xlfn.RANK.EQ(TableExploration[[#This Row],[Win Percent]],Win,0)</f>
        <v>7</v>
      </c>
    </row>
    <row r="64" spans="1:18" x14ac:dyDescent="0.25">
      <c r="A64" t="s">
        <v>53</v>
      </c>
      <c r="B64">
        <v>1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 s="13">
        <v>1</v>
      </c>
      <c r="K64" s="13">
        <f>SUM(B64:J64)</f>
        <v>3</v>
      </c>
      <c r="L64" s="3">
        <v>0.59299999000000003</v>
      </c>
      <c r="M64" s="3" t="str">
        <f>VLOOKUP(TableExploration[[#This Row],[Sugar Percentile]],$V$10:$W$13,2)</f>
        <v>Mid-High</v>
      </c>
      <c r="N64" s="3">
        <v>0.65100002000000001</v>
      </c>
      <c r="O64" s="3" t="str">
        <f>VLOOKUP(TableExploration[[#This Row],[Price Percentile]],$V$5:$W$7,2)</f>
        <v>Average</v>
      </c>
      <c r="P64">
        <v>69.483788000000004</v>
      </c>
      <c r="Q64" s="3">
        <f>P64/100</f>
        <v>0.69483788000000002</v>
      </c>
      <c r="R64" s="14">
        <f>_xlfn.RANK.EQ(TableExploration[[#This Row],[Win Percent]],Win,0)</f>
        <v>11</v>
      </c>
    </row>
    <row r="65" spans="1:18" x14ac:dyDescent="0.25">
      <c r="A65" t="s">
        <v>67</v>
      </c>
      <c r="B65">
        <v>1</v>
      </c>
      <c r="C65">
        <v>0</v>
      </c>
      <c r="D65">
        <v>1</v>
      </c>
      <c r="E65">
        <v>1</v>
      </c>
      <c r="F65">
        <v>0</v>
      </c>
      <c r="G65">
        <v>1</v>
      </c>
      <c r="H65">
        <v>0</v>
      </c>
      <c r="I65">
        <v>1</v>
      </c>
      <c r="J65" s="13">
        <v>0</v>
      </c>
      <c r="K65" s="13">
        <f>SUM(B65:J65)</f>
        <v>5</v>
      </c>
      <c r="L65" s="3">
        <v>0.60399997000000005</v>
      </c>
      <c r="M65" s="3" t="str">
        <f>VLOOKUP(TableExploration[[#This Row],[Sugar Percentile]],$V$10:$W$13,2)</f>
        <v>Mid-High</v>
      </c>
      <c r="N65" s="3">
        <v>0.65100002000000001</v>
      </c>
      <c r="O65" s="3" t="str">
        <f>VLOOKUP(TableExploration[[#This Row],[Price Percentile]],$V$5:$W$7,2)</f>
        <v>Average</v>
      </c>
      <c r="P65">
        <v>59.529251000000002</v>
      </c>
      <c r="Q65" s="3">
        <f>P65/100</f>
        <v>0.59529251000000005</v>
      </c>
      <c r="R65" s="14">
        <f>_xlfn.RANK.EQ(TableExploration[[#This Row],[Win Percent]],Win,0)</f>
        <v>23</v>
      </c>
    </row>
    <row r="66" spans="1:18" x14ac:dyDescent="0.25">
      <c r="A66" t="s">
        <v>72</v>
      </c>
      <c r="B66">
        <v>0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 s="13">
        <v>1</v>
      </c>
      <c r="K66" s="13">
        <f>SUM(B66:J66)</f>
        <v>2</v>
      </c>
      <c r="L66" s="3">
        <v>0.96499997000000004</v>
      </c>
      <c r="M66" s="3" t="str">
        <f>VLOOKUP(TableExploration[[#This Row],[Sugar Percentile]],$V$10:$W$13,2)</f>
        <v>High</v>
      </c>
      <c r="N66" s="3">
        <v>0.76700002</v>
      </c>
      <c r="O66" s="3" t="str">
        <f>VLOOKUP(TableExploration[[#This Row],[Price Percentile]],$V$5:$W$7,2)</f>
        <v>Expensive</v>
      </c>
      <c r="P66">
        <v>33.437550000000002</v>
      </c>
      <c r="Q66" s="3">
        <f>P66/100</f>
        <v>0.33437549999999999</v>
      </c>
      <c r="R66" s="14">
        <f>_xlfn.RANK.EQ(TableExploration[[#This Row],[Win Percent]],Win,0)</f>
        <v>77</v>
      </c>
    </row>
    <row r="67" spans="1:18" x14ac:dyDescent="0.25">
      <c r="A67" t="s">
        <v>84</v>
      </c>
      <c r="B67">
        <v>1</v>
      </c>
      <c r="C67">
        <v>0</v>
      </c>
      <c r="D67">
        <v>0</v>
      </c>
      <c r="E67">
        <v>0</v>
      </c>
      <c r="F67">
        <v>0</v>
      </c>
      <c r="G67">
        <v>1</v>
      </c>
      <c r="H67">
        <v>0</v>
      </c>
      <c r="I67">
        <v>0</v>
      </c>
      <c r="J67" s="13">
        <v>1</v>
      </c>
      <c r="K67" s="13">
        <f>SUM(B67:J67)</f>
        <v>3</v>
      </c>
      <c r="L67" s="3">
        <v>0.87199998000000001</v>
      </c>
      <c r="M67" s="3" t="str">
        <f>VLOOKUP(TableExploration[[#This Row],[Sugar Percentile]],$V$10:$W$13,2)</f>
        <v>High</v>
      </c>
      <c r="N67" s="3">
        <v>0.84799999000000004</v>
      </c>
      <c r="O67" s="3" t="str">
        <f>VLOOKUP(TableExploration[[#This Row],[Price Percentile]],$V$5:$W$7,2)</f>
        <v>Expensive</v>
      </c>
      <c r="P67">
        <v>49.524113</v>
      </c>
      <c r="Q67" s="3">
        <f>P67/100</f>
        <v>0.49524112999999997</v>
      </c>
      <c r="R67" s="14">
        <f>_xlfn.RANK.EQ(TableExploration[[#This Row],[Win Percent]],Win,0)</f>
        <v>41</v>
      </c>
    </row>
    <row r="68" spans="1:18" x14ac:dyDescent="0.25">
      <c r="A68" t="s">
        <v>58</v>
      </c>
      <c r="B68">
        <v>1</v>
      </c>
      <c r="C68">
        <v>0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 s="13">
        <v>1</v>
      </c>
      <c r="K68" s="13">
        <f>SUM(B68:J68)</f>
        <v>3</v>
      </c>
      <c r="L68" s="3">
        <v>0.86000001000000004</v>
      </c>
      <c r="M68" s="3" t="str">
        <f>VLOOKUP(TableExploration[[#This Row],[Sugar Percentile]],$V$10:$W$13,2)</f>
        <v>High</v>
      </c>
      <c r="N68" s="3">
        <v>0.86000001000000004</v>
      </c>
      <c r="O68" s="3" t="str">
        <f>VLOOKUP(TableExploration[[#This Row],[Price Percentile]],$V$5:$W$7,2)</f>
        <v>Expensive</v>
      </c>
      <c r="P68">
        <v>65.716285999999997</v>
      </c>
      <c r="Q68" s="3">
        <f>P68/100</f>
        <v>0.65716286000000002</v>
      </c>
      <c r="R68" s="14">
        <f>_xlfn.RANK.EQ(TableExploration[[#This Row],[Win Percent]],Win,0)</f>
        <v>17</v>
      </c>
    </row>
    <row r="69" spans="1:18" x14ac:dyDescent="0.25">
      <c r="A69" t="s">
        <v>44</v>
      </c>
      <c r="B69">
        <v>1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1</v>
      </c>
      <c r="J69" s="13">
        <v>0</v>
      </c>
      <c r="K69" s="13">
        <f>SUM(B69:J69)</f>
        <v>3</v>
      </c>
      <c r="L69" s="3">
        <v>0.96499997000000004</v>
      </c>
      <c r="M69" s="3" t="str">
        <f>VLOOKUP(TableExploration[[#This Row],[Sugar Percentile]],$V$10:$W$13,2)</f>
        <v>High</v>
      </c>
      <c r="N69" s="3">
        <v>0.86000001000000004</v>
      </c>
      <c r="O69" s="3" t="str">
        <f>VLOOKUP(TableExploration[[#This Row],[Price Percentile]],$V$5:$W$7,2)</f>
        <v>Expensive</v>
      </c>
      <c r="P69">
        <v>64.353340000000003</v>
      </c>
      <c r="Q69" s="3">
        <f>P69/100</f>
        <v>0.64353340000000003</v>
      </c>
      <c r="R69" s="14">
        <f>_xlfn.RANK.EQ(TableExploration[[#This Row],[Win Percent]],Win,0)</f>
        <v>18</v>
      </c>
    </row>
    <row r="70" spans="1:18" x14ac:dyDescent="0.25">
      <c r="A70" t="s">
        <v>50</v>
      </c>
      <c r="B70">
        <v>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 s="13">
        <v>1</v>
      </c>
      <c r="K70" s="13">
        <f>SUM(B70:J70)</f>
        <v>2</v>
      </c>
      <c r="L70" s="3">
        <v>0.19700000000000001</v>
      </c>
      <c r="M70" s="3" t="str">
        <f>VLOOKUP(TableExploration[[#This Row],[Sugar Percentile]],$V$10:$W$13,2)</f>
        <v>Low</v>
      </c>
      <c r="N70" s="3">
        <v>0.97600001000000003</v>
      </c>
      <c r="O70" s="3" t="str">
        <f>VLOOKUP(TableExploration[[#This Row],[Price Percentile]],$V$5:$W$7,2)</f>
        <v>Expensive</v>
      </c>
      <c r="P70">
        <v>22.445340999999999</v>
      </c>
      <c r="Q70" s="3">
        <f>P70/100</f>
        <v>0.22445340999999999</v>
      </c>
      <c r="R70" s="14">
        <f>_xlfn.RANK.EQ(TableExploration[[#This Row],[Win Percent]],Win,0)</f>
        <v>85</v>
      </c>
    </row>
    <row r="71" spans="1:18" x14ac:dyDescent="0.25">
      <c r="A71" t="s">
        <v>49</v>
      </c>
      <c r="B71">
        <v>1</v>
      </c>
      <c r="C71">
        <v>0</v>
      </c>
      <c r="D71">
        <v>0</v>
      </c>
      <c r="E71">
        <v>0</v>
      </c>
      <c r="F71">
        <v>0</v>
      </c>
      <c r="G71">
        <v>1</v>
      </c>
      <c r="H71">
        <v>0</v>
      </c>
      <c r="I71">
        <v>1</v>
      </c>
      <c r="J71" s="13">
        <v>0</v>
      </c>
      <c r="K71" s="13">
        <f>SUM(B71:J71)</f>
        <v>3</v>
      </c>
      <c r="L71" s="3">
        <v>0.31299999000000001</v>
      </c>
      <c r="M71" s="3" t="str">
        <f>VLOOKUP(TableExploration[[#This Row],[Sugar Percentile]],$V$10:$W$13,2)</f>
        <v>Low-Mid</v>
      </c>
      <c r="N71" s="3">
        <v>0.76700002</v>
      </c>
      <c r="O71" s="3" t="str">
        <f>VLOOKUP(TableExploration[[#This Row],[Price Percentile]],$V$5:$W$7,2)</f>
        <v>Expensive</v>
      </c>
      <c r="P71">
        <v>66.470680000000002</v>
      </c>
      <c r="Q71" s="3">
        <f>P71/100</f>
        <v>0.66470680000000004</v>
      </c>
      <c r="R71" s="14">
        <f>_xlfn.RANK.EQ(TableExploration[[#This Row],[Win Percent]],Win,0)</f>
        <v>16</v>
      </c>
    </row>
    <row r="72" spans="1:18" x14ac:dyDescent="0.25">
      <c r="A72" t="s">
        <v>17</v>
      </c>
      <c r="B72">
        <v>1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1</v>
      </c>
      <c r="J72" s="13">
        <v>0</v>
      </c>
      <c r="K72" s="13">
        <f>SUM(B72:J72)</f>
        <v>3</v>
      </c>
      <c r="L72" s="3">
        <v>0.46500000000000002</v>
      </c>
      <c r="M72" s="3" t="str">
        <f>VLOOKUP(TableExploration[[#This Row],[Sugar Percentile]],$V$10:$W$13,2)</f>
        <v>Low-Mid</v>
      </c>
      <c r="N72" s="3">
        <v>0.76700002</v>
      </c>
      <c r="O72" s="3" t="str">
        <f>VLOOKUP(TableExploration[[#This Row],[Price Percentile]],$V$5:$W$7,2)</f>
        <v>Expensive</v>
      </c>
      <c r="P72">
        <v>50.347546000000001</v>
      </c>
      <c r="Q72" s="3">
        <f>P72/100</f>
        <v>0.50347545999999999</v>
      </c>
      <c r="R72" s="14">
        <f>_xlfn.RANK.EQ(TableExploration[[#This Row],[Win Percent]],Win,0)</f>
        <v>39</v>
      </c>
    </row>
    <row r="73" spans="1:18" x14ac:dyDescent="0.25">
      <c r="A73" t="s">
        <v>52</v>
      </c>
      <c r="B73">
        <v>0</v>
      </c>
      <c r="C73">
        <v>0</v>
      </c>
      <c r="D73">
        <v>0</v>
      </c>
      <c r="E73">
        <v>1</v>
      </c>
      <c r="F73">
        <v>1</v>
      </c>
      <c r="G73">
        <v>0</v>
      </c>
      <c r="H73">
        <v>0</v>
      </c>
      <c r="I73">
        <v>1</v>
      </c>
      <c r="J73" s="13">
        <v>0</v>
      </c>
      <c r="K73" s="13">
        <f>SUM(B73:J73)</f>
        <v>3</v>
      </c>
      <c r="L73" s="3">
        <v>0.46500000000000002</v>
      </c>
      <c r="M73" s="3" t="str">
        <f>VLOOKUP(TableExploration[[#This Row],[Sugar Percentile]],$V$10:$W$13,2)</f>
        <v>Low-Mid</v>
      </c>
      <c r="N73" s="3">
        <v>0.76700002</v>
      </c>
      <c r="O73" s="3" t="str">
        <f>VLOOKUP(TableExploration[[#This Row],[Price Percentile]],$V$5:$W$7,2)</f>
        <v>Expensive</v>
      </c>
      <c r="P73">
        <v>46.296596999999998</v>
      </c>
      <c r="Q73" s="3">
        <f>P73/100</f>
        <v>0.46296597</v>
      </c>
      <c r="R73" s="14">
        <f>_xlfn.RANK.EQ(TableExploration[[#This Row],[Win Percent]],Win,0)</f>
        <v>47</v>
      </c>
    </row>
    <row r="74" spans="1:18" x14ac:dyDescent="0.25">
      <c r="A74" t="s">
        <v>45</v>
      </c>
      <c r="B74">
        <v>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 s="13">
        <v>0</v>
      </c>
      <c r="K74" s="13">
        <f>SUM(B74:J74)</f>
        <v>2</v>
      </c>
      <c r="L74" s="3">
        <v>0.31299999000000001</v>
      </c>
      <c r="M74" s="3" t="str">
        <f>VLOOKUP(TableExploration[[#This Row],[Sugar Percentile]],$V$10:$W$13,2)</f>
        <v>Low-Mid</v>
      </c>
      <c r="N74" s="3">
        <v>0.86000001000000004</v>
      </c>
      <c r="O74" s="3" t="str">
        <f>VLOOKUP(TableExploration[[#This Row],[Price Percentile]],$V$5:$W$7,2)</f>
        <v>Expensive</v>
      </c>
      <c r="P74">
        <v>47.829754000000001</v>
      </c>
      <c r="Q74" s="3">
        <f>P74/100</f>
        <v>0.47829754000000002</v>
      </c>
      <c r="R74" s="14">
        <f>_xlfn.RANK.EQ(TableExploration[[#This Row],[Win Percent]],Win,0)</f>
        <v>43</v>
      </c>
    </row>
    <row r="75" spans="1:18" x14ac:dyDescent="0.25">
      <c r="A75" t="s">
        <v>86</v>
      </c>
      <c r="B75">
        <v>1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1</v>
      </c>
      <c r="J75" s="13">
        <v>0</v>
      </c>
      <c r="K75" s="13">
        <f>SUM(B75:J75)</f>
        <v>3</v>
      </c>
      <c r="L75" s="3">
        <v>0.43000000999999999</v>
      </c>
      <c r="M75" s="3" t="str">
        <f>VLOOKUP(TableExploration[[#This Row],[Sugar Percentile]],$V$10:$W$13,2)</f>
        <v>Low-Mid</v>
      </c>
      <c r="N75" s="3">
        <v>0.91799998000000005</v>
      </c>
      <c r="O75" s="3" t="str">
        <f>VLOOKUP(TableExploration[[#This Row],[Price Percentile]],$V$5:$W$7,2)</f>
        <v>Expensive</v>
      </c>
      <c r="P75">
        <v>62.284481</v>
      </c>
      <c r="Q75" s="3">
        <f>P75/100</f>
        <v>0.62284481000000003</v>
      </c>
      <c r="R75" s="14">
        <f>_xlfn.RANK.EQ(TableExploration[[#This Row],[Win Percent]],Win,0)</f>
        <v>20</v>
      </c>
    </row>
    <row r="76" spans="1:18" x14ac:dyDescent="0.25">
      <c r="A76" t="s">
        <v>88</v>
      </c>
      <c r="B76">
        <v>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 s="13">
        <v>0</v>
      </c>
      <c r="K76" s="13">
        <f>SUM(B76:J76)</f>
        <v>2</v>
      </c>
      <c r="L76" s="3">
        <v>0.43000000999999999</v>
      </c>
      <c r="M76" s="3" t="str">
        <f>VLOOKUP(TableExploration[[#This Row],[Sugar Percentile]],$V$10:$W$13,2)</f>
        <v>Low-Mid</v>
      </c>
      <c r="N76" s="3">
        <v>0.91799998000000005</v>
      </c>
      <c r="O76" s="3" t="str">
        <f>VLOOKUP(TableExploration[[#This Row],[Price Percentile]],$V$5:$W$7,2)</f>
        <v>Expensive</v>
      </c>
      <c r="P76">
        <v>59.236122000000002</v>
      </c>
      <c r="Q76" s="3">
        <f>P76/100</f>
        <v>0.59236122000000002</v>
      </c>
      <c r="R76" s="14">
        <f>_xlfn.RANK.EQ(TableExploration[[#This Row],[Win Percent]],Win,0)</f>
        <v>24</v>
      </c>
    </row>
    <row r="77" spans="1:18" x14ac:dyDescent="0.25">
      <c r="A77" t="s">
        <v>87</v>
      </c>
      <c r="B77">
        <v>1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1</v>
      </c>
      <c r="J77" s="13">
        <v>0</v>
      </c>
      <c r="K77" s="13">
        <f>SUM(B77:J77)</f>
        <v>2</v>
      </c>
      <c r="L77" s="3">
        <v>0.43000000999999999</v>
      </c>
      <c r="M77" s="3" t="str">
        <f>VLOOKUP(TableExploration[[#This Row],[Sugar Percentile]],$V$10:$W$13,2)</f>
        <v>Low-Mid</v>
      </c>
      <c r="N77" s="3">
        <v>0.91799998000000005</v>
      </c>
      <c r="O77" s="3" t="str">
        <f>VLOOKUP(TableExploration[[#This Row],[Price Percentile]],$V$5:$W$7,2)</f>
        <v>Expensive</v>
      </c>
      <c r="P77">
        <v>56.490501000000002</v>
      </c>
      <c r="Q77" s="3">
        <f>P77/100</f>
        <v>0.56490501000000004</v>
      </c>
      <c r="R77" s="14">
        <f>_xlfn.RANK.EQ(TableExploration[[#This Row],[Win Percent]],Win,0)</f>
        <v>28</v>
      </c>
    </row>
    <row r="78" spans="1:18" x14ac:dyDescent="0.25">
      <c r="A78" t="s">
        <v>46</v>
      </c>
      <c r="B78">
        <v>1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1</v>
      </c>
      <c r="J78" s="13">
        <v>0</v>
      </c>
      <c r="K78" s="13">
        <f>SUM(B78:J78)</f>
        <v>3</v>
      </c>
      <c r="L78" s="3">
        <v>0.31299999000000001</v>
      </c>
      <c r="M78" s="3" t="str">
        <f>VLOOKUP(TableExploration[[#This Row],[Sugar Percentile]],$V$10:$W$13,2)</f>
        <v>Low-Mid</v>
      </c>
      <c r="N78" s="3">
        <v>0.91799998000000005</v>
      </c>
      <c r="O78" s="3" t="str">
        <f>VLOOKUP(TableExploration[[#This Row],[Price Percentile]],$V$5:$W$7,2)</f>
        <v>Expensive</v>
      </c>
      <c r="P78">
        <v>54.526451000000002</v>
      </c>
      <c r="Q78" s="3">
        <f>P78/100</f>
        <v>0.54526450999999998</v>
      </c>
      <c r="R78" s="14">
        <f>_xlfn.RANK.EQ(TableExploration[[#This Row],[Win Percent]],Win,0)</f>
        <v>34</v>
      </c>
    </row>
    <row r="79" spans="1:18" x14ac:dyDescent="0.25">
      <c r="A79" t="s">
        <v>64</v>
      </c>
      <c r="B79">
        <v>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 s="13">
        <v>1</v>
      </c>
      <c r="K79" s="13">
        <f>SUM(B79:J79)</f>
        <v>2</v>
      </c>
      <c r="L79" s="3">
        <v>0.26699999000000002</v>
      </c>
      <c r="M79" s="3" t="str">
        <f>VLOOKUP(TableExploration[[#This Row],[Sugar Percentile]],$V$10:$W$13,2)</f>
        <v>Low-Mid</v>
      </c>
      <c r="N79" s="3">
        <v>0.97600001000000003</v>
      </c>
      <c r="O79" s="3" t="str">
        <f>VLOOKUP(TableExploration[[#This Row],[Price Percentile]],$V$5:$W$7,2)</f>
        <v>Expensive</v>
      </c>
      <c r="P79">
        <v>37.887188000000002</v>
      </c>
      <c r="Q79" s="3">
        <f>P79/100</f>
        <v>0.37887187999999999</v>
      </c>
      <c r="R79" s="14">
        <f>_xlfn.RANK.EQ(TableExploration[[#This Row],[Win Percent]],Win,0)</f>
        <v>68</v>
      </c>
    </row>
    <row r="80" spans="1:18" x14ac:dyDescent="0.25">
      <c r="A80" t="s">
        <v>75</v>
      </c>
      <c r="B80">
        <v>0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 s="13">
        <v>1</v>
      </c>
      <c r="K80" s="13">
        <f>SUM(B80:J80)</f>
        <v>2</v>
      </c>
      <c r="L80" s="3">
        <v>0.60399997000000005</v>
      </c>
      <c r="M80" s="3" t="str">
        <f>VLOOKUP(TableExploration[[#This Row],[Sugar Percentile]],$V$10:$W$13,2)</f>
        <v>Mid-High</v>
      </c>
      <c r="N80" s="3">
        <v>0.755</v>
      </c>
      <c r="O80" s="3" t="str">
        <f>VLOOKUP(TableExploration[[#This Row],[Price Percentile]],$V$5:$W$7,2)</f>
        <v>Expensive</v>
      </c>
      <c r="P80">
        <v>54.861111000000001</v>
      </c>
      <c r="Q80" s="3">
        <f>P80/100</f>
        <v>0.54861110999999996</v>
      </c>
      <c r="R80" s="14">
        <f>_xlfn.RANK.EQ(TableExploration[[#This Row],[Win Percent]],Win,0)</f>
        <v>33</v>
      </c>
    </row>
    <row r="81" spans="1:18" x14ac:dyDescent="0.25">
      <c r="A81" t="s">
        <v>48</v>
      </c>
      <c r="B81">
        <v>1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1</v>
      </c>
      <c r="J81" s="13">
        <v>0</v>
      </c>
      <c r="K81" s="13">
        <f>SUM(B81:J81)</f>
        <v>3</v>
      </c>
      <c r="L81" s="3">
        <v>0.60399997000000005</v>
      </c>
      <c r="M81" s="3" t="str">
        <f>VLOOKUP(TableExploration[[#This Row],[Sugar Percentile]],$V$10:$W$13,2)</f>
        <v>Mid-High</v>
      </c>
      <c r="N81" s="3">
        <v>0.76700002</v>
      </c>
      <c r="O81" s="3" t="str">
        <f>VLOOKUP(TableExploration[[#This Row],[Price Percentile]],$V$5:$W$7,2)</f>
        <v>Expensive</v>
      </c>
      <c r="P81">
        <v>70.735641000000001</v>
      </c>
      <c r="Q81" s="3">
        <f>P81/100</f>
        <v>0.70735641000000005</v>
      </c>
      <c r="R81" s="14">
        <f>_xlfn.RANK.EQ(TableExploration[[#This Row],[Win Percent]],Win,0)</f>
        <v>10</v>
      </c>
    </row>
    <row r="82" spans="1:18" x14ac:dyDescent="0.25">
      <c r="A82" t="s">
        <v>18</v>
      </c>
      <c r="B82">
        <v>1</v>
      </c>
      <c r="C82">
        <v>0</v>
      </c>
      <c r="D82">
        <v>1</v>
      </c>
      <c r="E82">
        <v>1</v>
      </c>
      <c r="F82">
        <v>1</v>
      </c>
      <c r="G82">
        <v>0</v>
      </c>
      <c r="H82">
        <v>0</v>
      </c>
      <c r="I82">
        <v>1</v>
      </c>
      <c r="J82" s="13">
        <v>0</v>
      </c>
      <c r="K82" s="13">
        <f>SUM(B82:J82)</f>
        <v>5</v>
      </c>
      <c r="L82" s="3">
        <v>0.60399997000000005</v>
      </c>
      <c r="M82" s="3" t="str">
        <f>VLOOKUP(TableExploration[[#This Row],[Sugar Percentile]],$V$10:$W$13,2)</f>
        <v>Mid-High</v>
      </c>
      <c r="N82" s="3">
        <v>0.76700002</v>
      </c>
      <c r="O82" s="3" t="str">
        <f>VLOOKUP(TableExploration[[#This Row],[Price Percentile]],$V$5:$W$7,2)</f>
        <v>Expensive</v>
      </c>
      <c r="P82">
        <v>56.914546999999999</v>
      </c>
      <c r="Q82" s="3">
        <f>P82/100</f>
        <v>0.56914547000000004</v>
      </c>
      <c r="R82" s="14">
        <f>_xlfn.RANK.EQ(TableExploration[[#This Row],[Win Percent]],Win,0)</f>
        <v>27</v>
      </c>
    </row>
    <row r="83" spans="1:18" x14ac:dyDescent="0.25">
      <c r="A83" t="s">
        <v>55</v>
      </c>
      <c r="B83">
        <v>0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 s="13">
        <v>1</v>
      </c>
      <c r="K83" s="13">
        <f>SUM(B83:J83)</f>
        <v>3</v>
      </c>
      <c r="L83" s="3">
        <v>0.60399997000000005</v>
      </c>
      <c r="M83" s="3" t="str">
        <f>VLOOKUP(TableExploration[[#This Row],[Sugar Percentile]],$V$10:$W$13,2)</f>
        <v>Mid-High</v>
      </c>
      <c r="N83" s="3">
        <v>0.83700001000000002</v>
      </c>
      <c r="O83" s="3" t="str">
        <f>VLOOKUP(TableExploration[[#This Row],[Price Percentile]],$V$5:$W$7,2)</f>
        <v>Expensive</v>
      </c>
      <c r="P83">
        <v>41.265510999999996</v>
      </c>
      <c r="Q83" s="3">
        <f>P83/100</f>
        <v>0.41265510999999999</v>
      </c>
      <c r="R83" s="14">
        <f>_xlfn.RANK.EQ(TableExploration[[#This Row],[Win Percent]],Win,0)</f>
        <v>60</v>
      </c>
    </row>
    <row r="84" spans="1:18" x14ac:dyDescent="0.25">
      <c r="A84" t="s">
        <v>12</v>
      </c>
      <c r="B84">
        <v>1</v>
      </c>
      <c r="C84">
        <v>0</v>
      </c>
      <c r="D84">
        <v>1</v>
      </c>
      <c r="E84">
        <v>0</v>
      </c>
      <c r="F84">
        <v>0</v>
      </c>
      <c r="G84">
        <v>1</v>
      </c>
      <c r="H84">
        <v>0</v>
      </c>
      <c r="I84">
        <v>1</v>
      </c>
      <c r="J84" s="13">
        <v>0</v>
      </c>
      <c r="K84" s="13">
        <f>SUM(B84:J84)</f>
        <v>4</v>
      </c>
      <c r="L84" s="3">
        <v>0.73199999000000004</v>
      </c>
      <c r="M84" s="3" t="str">
        <f>VLOOKUP(TableExploration[[#This Row],[Sugar Percentile]],$V$10:$W$13,2)</f>
        <v>Mid-High</v>
      </c>
      <c r="N84" s="3">
        <v>0.86000001000000004</v>
      </c>
      <c r="O84" s="3" t="str">
        <f>VLOOKUP(TableExploration[[#This Row],[Price Percentile]],$V$5:$W$7,2)</f>
        <v>Expensive</v>
      </c>
      <c r="P84">
        <v>66.971725000000006</v>
      </c>
      <c r="Q84" s="3">
        <f>P84/100</f>
        <v>0.66971725000000004</v>
      </c>
      <c r="R84" s="14">
        <f>_xlfn.RANK.EQ(TableExploration[[#This Row],[Win Percent]],Win,0)</f>
        <v>14</v>
      </c>
    </row>
    <row r="85" spans="1:18" x14ac:dyDescent="0.25">
      <c r="A85" t="s">
        <v>81</v>
      </c>
      <c r="B85">
        <v>1</v>
      </c>
      <c r="C85">
        <v>0</v>
      </c>
      <c r="D85">
        <v>1</v>
      </c>
      <c r="E85">
        <v>0</v>
      </c>
      <c r="F85">
        <v>0</v>
      </c>
      <c r="G85">
        <v>1</v>
      </c>
      <c r="H85">
        <v>0</v>
      </c>
      <c r="I85">
        <v>1</v>
      </c>
      <c r="J85" s="13">
        <v>0</v>
      </c>
      <c r="K85" s="13">
        <f>SUM(B85:J85)</f>
        <v>4</v>
      </c>
      <c r="L85" s="3">
        <v>0.54600000000000004</v>
      </c>
      <c r="M85" s="3" t="str">
        <f>VLOOKUP(TableExploration[[#This Row],[Sugar Percentile]],$V$10:$W$13,2)</f>
        <v>Mid-High</v>
      </c>
      <c r="N85" s="3">
        <v>0.90600002000000002</v>
      </c>
      <c r="O85" s="3" t="str">
        <f>VLOOKUP(TableExploration[[#This Row],[Price Percentile]],$V$5:$W$7,2)</f>
        <v>Expensive</v>
      </c>
      <c r="P85">
        <v>81.642914000000005</v>
      </c>
      <c r="Q85" s="3">
        <f>P85/100</f>
        <v>0.81642914</v>
      </c>
      <c r="R85" s="14">
        <f>_xlfn.RANK.EQ(TableExploration[[#This Row],[Win Percent]],Win,0)</f>
        <v>3</v>
      </c>
    </row>
    <row r="86" spans="1:18" x14ac:dyDescent="0.25">
      <c r="A86" t="s">
        <v>57</v>
      </c>
      <c r="B86">
        <v>0</v>
      </c>
      <c r="C86">
        <v>1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 s="13">
        <v>0</v>
      </c>
      <c r="K86" s="13">
        <f>SUM(B86:J86)</f>
        <v>2</v>
      </c>
      <c r="L86" s="3">
        <v>0.73199999000000004</v>
      </c>
      <c r="M86" s="3" t="str">
        <f>VLOOKUP(TableExploration[[#This Row],[Sugar Percentile]],$V$10:$W$13,2)</f>
        <v>Mid-High</v>
      </c>
      <c r="N86" s="3">
        <v>0.96499997000000004</v>
      </c>
      <c r="O86" s="3" t="str">
        <f>VLOOKUP(TableExploration[[#This Row],[Price Percentile]],$V$5:$W$7,2)</f>
        <v>Expensive</v>
      </c>
      <c r="P86">
        <v>35.290756000000002</v>
      </c>
      <c r="Q86" s="3">
        <f>P86/100</f>
        <v>0.35290756000000001</v>
      </c>
      <c r="R86" s="14">
        <f>_xlfn.RANK.EQ(TableExploration[[#This Row],[Win Percent]],Win,0)</f>
        <v>72</v>
      </c>
    </row>
    <row r="87" spans="1:18" x14ac:dyDescent="0.25">
      <c r="A87" t="s">
        <v>175</v>
      </c>
      <c r="B87">
        <f>SUBTOTAL(109,TableExploration[Chocolate])</f>
        <v>37</v>
      </c>
      <c r="C87">
        <f>SUBTOTAL(109,TableExploration[Fruity])</f>
        <v>38</v>
      </c>
      <c r="D87">
        <f>SUBTOTAL(109,TableExploration[Caramel])</f>
        <v>14</v>
      </c>
      <c r="E87">
        <f>SUBTOTAL(109,TableExploration[Peanut Almond])</f>
        <v>14</v>
      </c>
      <c r="F87">
        <f>SUBTOTAL(109,TableExploration[Nougat])</f>
        <v>7</v>
      </c>
      <c r="G87">
        <f>SUBTOTAL(109,TableExploration[Waifer])</f>
        <v>7</v>
      </c>
      <c r="H87">
        <f>SUBTOTAL(109,TableExploration[Hard])</f>
        <v>15</v>
      </c>
      <c r="I87">
        <f>SUBTOTAL(109,TableExploration[Bar])</f>
        <v>21</v>
      </c>
      <c r="J87" s="13">
        <f>SUBTOTAL(109,TableExploration[Multiple In Package])</f>
        <v>44</v>
      </c>
      <c r="K87" s="13"/>
      <c r="L87" s="16"/>
      <c r="M87" s="16"/>
      <c r="N87" s="16"/>
      <c r="O87" s="16"/>
      <c r="Q87" s="16"/>
      <c r="R87" s="17">
        <f>SUBTOTAL(109,TableExploration[Column1])</f>
        <v>3655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22</vt:i4>
      </vt:variant>
    </vt:vector>
  </HeadingPairs>
  <TitlesOfParts>
    <vt:vector size="27" baseType="lpstr">
      <vt:lpstr>About</vt:lpstr>
      <vt:lpstr>Data</vt:lpstr>
      <vt:lpstr>Attribute Analysis</vt:lpstr>
      <vt:lpstr>Win Percent Analysis</vt:lpstr>
      <vt:lpstr>Data as Table</vt:lpstr>
      <vt:lpstr>'Data as Table'!Bar</vt:lpstr>
      <vt:lpstr>Bar</vt:lpstr>
      <vt:lpstr>'Data as Table'!Caramel</vt:lpstr>
      <vt:lpstr>Caramel</vt:lpstr>
      <vt:lpstr>'Data as Table'!Chocolate</vt:lpstr>
      <vt:lpstr>Chocolate</vt:lpstr>
      <vt:lpstr>'Data as Table'!Fruity</vt:lpstr>
      <vt:lpstr>Fruity</vt:lpstr>
      <vt:lpstr>'Data as Table'!Hard</vt:lpstr>
      <vt:lpstr>Hard</vt:lpstr>
      <vt:lpstr>'Data as Table'!Multiple_In_Package</vt:lpstr>
      <vt:lpstr>Multiple_In_Package</vt:lpstr>
      <vt:lpstr>'Data as Table'!Name</vt:lpstr>
      <vt:lpstr>Name</vt:lpstr>
      <vt:lpstr>'Data as Table'!Nougat</vt:lpstr>
      <vt:lpstr>Nougat</vt:lpstr>
      <vt:lpstr>'Data as Table'!Peanut_Almond</vt:lpstr>
      <vt:lpstr>Peanut_Almond</vt:lpstr>
      <vt:lpstr>'Data as Table'!Waifer</vt:lpstr>
      <vt:lpstr>Waifer</vt:lpstr>
      <vt:lpstr>'Data as Table'!Win</vt:lpstr>
      <vt:lpstr>Win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2019-01-15T14:53:40Z</dcterms:created>
  <dcterms:modified xsi:type="dcterms:W3CDTF">2019-01-22T20:16:25Z</dcterms:modified>
</cp:coreProperties>
</file>